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Summary" sheetId="2" state="visible" r:id="rId4"/>
    <sheet name="Incidents" sheetId="3" state="visible" r:id="rId5"/>
    <sheet name="Pivot - Year x Type" sheetId="4" state="visible" r:id="rId6"/>
    <sheet name="Pivot - Airport x Year" sheetId="5" state="visible" r:id="rId7"/>
    <sheet name="Pivot - Operator x Type" sheetId="6" state="visible" r:id="rId8"/>
    <sheet name="Pivot - Type x Month" sheetId="7" state="visible" r:id="rId9"/>
    <sheet name="Notes &amp; Caveats" sheetId="8" state="visible" r:id="rId10"/>
    <sheet name="CAR 5-F-III Positives" sheetId="9" state="visible" r:id="rId11"/>
    <sheet name="Official vs SMF Gap" sheetId="10" state="visible" r:id="rId12"/>
    <sheet name="Context (pre-2016)" sheetId="11" state="visible" r:id="rId13"/>
    <sheet name="Post-scope 2026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<sst xmlns="http://schemas.openxmlformats.org/spreadsheetml/2006/main" count="1983" uniqueCount="1049">
  <si>
    <t xml:space="preserve">Ground incidents at Indian civil airports — Dashboard</t>
  </si>
  <si>
    <t xml:space="preserve">Report prepared by Safety Matters Foundation · 2016–2025 · compiled from AAIB/DGCA, ASN, Aviation Herald, and news media</t>
  </si>
  <si>
    <t xml:space="preserve">Total incidents</t>
  </si>
  <si>
    <t xml:space="preserve">Years covered</t>
  </si>
  <si>
    <t xml:space="preserve">Unique airports</t>
  </si>
  <si>
    <t xml:space="preserve">Runway excursions</t>
  </si>
  <si>
    <t xml:space="preserve">Runway incursions</t>
  </si>
  <si>
    <t xml:space="preserve">Bird strikes</t>
  </si>
  <si>
    <t xml:space="preserve">Ground incidents at Indian civil airports (2016-2025)</t>
  </si>
  <si>
    <t xml:space="preserve">Report prepared by Safety Matters Foundation</t>
  </si>
  <si>
    <t xml:space="preserve">Source agents</t>
  </si>
  <si>
    <t xml:space="preserve">Official (AAIB / DGCA / BEA)</t>
  </si>
  <si>
    <t xml:space="preserve">Aviation Safety Network + Aviation Herald</t>
  </si>
  <si>
    <t xml:space="preserve">News media (TOI, Hindu, HT, ThePrint, BS, Business Today, Al Jazeera, CNN, etc.)</t>
  </si>
  <si>
    <t xml:space="preserve">Scope</t>
  </si>
  <si>
    <t xml:space="preserve">Runway excursions / incursions, ground collisions, tarmac fires, fuel spills, bird strikes on ground, security breaches, apron incidents</t>
  </si>
  <si>
    <t xml:space="preserve">Civil airports only (dual-use airports included for civil operations)</t>
  </si>
  <si>
    <t xml:space="preserve">Total unique ground incidents (2016-2025)</t>
  </si>
  <si>
    <t xml:space="preserve">By year</t>
  </si>
  <si>
    <t xml:space="preserve">By incident type</t>
  </si>
  <si>
    <t xml:space="preserve">Year</t>
  </si>
  <si>
    <t xml:space="preserve">Count</t>
  </si>
  <si>
    <t xml:space="preserve">Type</t>
  </si>
  <si>
    <t xml:space="preserve">runway_excursion</t>
  </si>
  <si>
    <t xml:space="preserve">runway_incursion</t>
  </si>
  <si>
    <t xml:space="preserve">ground_collision</t>
  </si>
  <si>
    <t xml:space="preserve">tarmac_fire</t>
  </si>
  <si>
    <t xml:space="preserve">fuel_spill</t>
  </si>
  <si>
    <t xml:space="preserve">bird_strike_ground</t>
  </si>
  <si>
    <t xml:space="preserve">security_breach</t>
  </si>
  <si>
    <t xml:space="preserve">apron_incident</t>
  </si>
  <si>
    <t xml:space="preserve">other</t>
  </si>
  <si>
    <t xml:space="preserve">Date</t>
  </si>
  <si>
    <t xml:space="preserve">Airport</t>
  </si>
  <si>
    <t xml:space="preserve">City</t>
  </si>
  <si>
    <t xml:space="preserve">Incident Type</t>
  </si>
  <si>
    <t xml:space="preserve">Aircraft / Operator</t>
  </si>
  <si>
    <t xml:space="preserve">Description</t>
  </si>
  <si>
    <t xml:space="preserve">Injuries / Damage</t>
  </si>
  <si>
    <t xml:space="preserve">Source URL(s)</t>
  </si>
  <si>
    <t xml:space="preserve">Source Type</t>
  </si>
  <si>
    <t xml:space="preserve">IATA</t>
  </si>
  <si>
    <t xml:space="preserve">Operator</t>
  </si>
  <si>
    <t xml:space="preserve">2016-02-22</t>
  </si>
  <si>
    <t xml:space="preserve">BOM Chhatrapati Shivaji Intl</t>
  </si>
  <si>
    <t xml:space="preserve">Mumbai</t>
  </si>
  <si>
    <t xml:space="preserve">Air India B777-300ER VT-ALJ</t>
  </si>
  <si>
    <t xml:space="preserve">Right wing struck high-mast lighting pole while taxiing; wrong taxi clearance</t>
  </si>
  <si>
    <t xml:space="preserve">Aircraft wing damage; 319 pax, no injuries</t>
  </si>
  <si>
    <t xml:space="preserve">https://aaib.gov.in/Reports/2016/Serious%20Incident/VT-ALJ%20Final%20Report.pdf</t>
  </si>
  <si>
    <t xml:space="preserve">Official (AAIB)</t>
  </si>
  <si>
    <t xml:space="preserve">BOM</t>
  </si>
  <si>
    <t xml:space="preserve">Air India</t>
  </si>
  <si>
    <t xml:space="preserve">2016-03-03</t>
  </si>
  <si>
    <t xml:space="preserve">Jet Airways B737-95R VT-JGD (9W354)</t>
  </si>
  <si>
    <t xml:space="preserve">Main gear collapse on taxiway after landing</t>
  </si>
  <si>
    <t xml:space="preserve">Substantial aircraft damage</t>
  </si>
  <si>
    <t xml:space="preserve">https://aviation-safety.net/wikibase/320122</t>
  </si>
  <si>
    <t xml:space="preserve">ASN</t>
  </si>
  <si>
    <t xml:space="preserve">Jet Airways</t>
  </si>
  <si>
    <t xml:space="preserve">2016-03-15</t>
  </si>
  <si>
    <t xml:space="preserve">Air India A320-231 VT-ESL (AI630)</t>
  </si>
  <si>
    <t xml:space="preserve">All four main tyres burst on landing; brake servo valve fault; aircraft departed runway</t>
  </si>
  <si>
    <t xml:space="preserve">Tyres/gear damage; no injuries</t>
  </si>
  <si>
    <t xml:space="preserve">https://aaib.gov.in/Reports/2017/Serious%20Incident/Accepted%20report%20VT-ESL.pdf</t>
  </si>
  <si>
    <t xml:space="preserve">2016-05-07</t>
  </si>
  <si>
    <t xml:space="preserve">IDR Devi Ahilyabai Holkar</t>
  </si>
  <si>
    <t xml:space="preserve">Indore</t>
  </si>
  <si>
    <t xml:space="preserve">Jet Airways ATR72-600 VT-JCX</t>
  </si>
  <si>
    <t xml:space="preserve">Veered off runway on landing, stopped on unpaved ground</t>
  </si>
  <si>
    <t xml:space="preserve">Substantial damage; 66 pax + 4 crew uninjured</t>
  </si>
  <si>
    <t xml:space="preserve">https://asn.flightsafety.org/wikibase/320084</t>
  </si>
  <si>
    <t xml:space="preserve">IDR</t>
  </si>
  <si>
    <t xml:space="preserve">2016-07-01</t>
  </si>
  <si>
    <t xml:space="preserve">Air India A321 (AI-922 Mumbai-Riyadh)</t>
  </si>
  <si>
    <t xml:space="preserve">Aircraft struck aerobridge during pushback; takeoff aborted; ~200 pax onboard</t>
  </si>
  <si>
    <t xml:space="preserve">Major dents to left engine; aerobridge damaged; no pax injuries</t>
  </si>
  <si>
    <t xml:space="preserve">https://www.india.com/news/cities/air-india-mumbai-to-riyadh-flight-hits-aerobridge-at-cst-airport-take-off-aborted-1302304/</t>
  </si>
  <si>
    <t xml:space="preserve">News</t>
  </si>
  <si>
    <t xml:space="preserve">2016-09-17</t>
  </si>
  <si>
    <t xml:space="preserve">TIR Tirupati</t>
  </si>
  <si>
    <t xml:space="preserve">Tirupati</t>
  </si>
  <si>
    <t xml:space="preserve">SpiceJet DH8D (Q400)</t>
  </si>
  <si>
    <t xml:space="preserve">Overshot runway on landing from Hyderabad</t>
  </si>
  <si>
    <t xml:space="preserve">60 pax/crew uninjured</t>
  </si>
  <si>
    <t xml:space="preserve">http://avherald.com/h?article=49e21186</t>
  </si>
  <si>
    <t xml:space="preserve">Avherald</t>
  </si>
  <si>
    <t xml:space="preserve">TIR</t>
  </si>
  <si>
    <t xml:space="preserve">SpiceJet</t>
  </si>
  <si>
    <t xml:space="preserve">2016-12-27</t>
  </si>
  <si>
    <t xml:space="preserve">DEL Indira Gandhi Intl</t>
  </si>
  <si>
    <t xml:space="preserve">Delhi</t>
  </si>
  <si>
    <t xml:space="preserve">SpiceJet B737 VT-SGV + A320 VT-INT</t>
  </si>
  <si>
    <t xml:space="preserve">LVP in effect; runway-incursion event</t>
  </si>
  <si>
    <t xml:space="preserve">AAIB report</t>
  </si>
  <si>
    <t xml:space="preserve">https://aviation-safety.net/wikibase/wiki.php?id=201302</t>
  </si>
  <si>
    <t xml:space="preserve">DEL</t>
  </si>
  <si>
    <t xml:space="preserve">GOI Dabolim</t>
  </si>
  <si>
    <t xml:space="preserve">Goa</t>
  </si>
  <si>
    <t xml:space="preserve">Jet Airways B737-85R VT-JBG (9W2374)</t>
  </si>
  <si>
    <t xml:space="preserve">Yawed right during takeoff; RTO; exited right side, nose gear collapsed, engines ground contact</t>
  </si>
  <si>
    <t xml:space="preserve">16 minor injuries during evacuation; substantial damage</t>
  </si>
  <si>
    <t xml:space="preserve">https://aviation-safety.net/asndb/319949</t>
  </si>
  <si>
    <t xml:space="preserve">ASN / Avherald</t>
  </si>
  <si>
    <t xml:space="preserve">GOI</t>
  </si>
  <si>
    <t xml:space="preserve">2017-01-09</t>
  </si>
  <si>
    <t xml:space="preserve">IXJ Jammu</t>
  </si>
  <si>
    <t xml:space="preserve">Jammu</t>
  </si>
  <si>
    <t xml:space="preserve">Air India A320 (AI821)</t>
  </si>
  <si>
    <t xml:space="preserve">Overshot Rwy 36 on landing from Delhi; stopped on soft ground ~8 m past edge</t>
  </si>
  <si>
    <t xml:space="preserve">Tyre burst, no injuries</t>
  </si>
  <si>
    <t xml:space="preserve">https://aviation-safety.net/wikibase/wiki.php?id=196009</t>
  </si>
  <si>
    <t xml:space="preserve">ASN / AAIB</t>
  </si>
  <si>
    <t xml:space="preserve">IXJ</t>
  </si>
  <si>
    <t xml:space="preserve">2017-03-22</t>
  </si>
  <si>
    <t xml:space="preserve">AMD Sardar Vallabhbhai Patel</t>
  </si>
  <si>
    <t xml:space="preserve">Ahmedabad</t>
  </si>
  <si>
    <t xml:space="preserve">Air India B787-8 VT-ANJ (AI-171)</t>
  </si>
  <si>
    <t xml:space="preserve">Bird impact on departure to London Heathrow</t>
  </si>
  <si>
    <t xml:space="preserve">Not stated</t>
  </si>
  <si>
    <t xml:space="preserve">https://aviation-safety.net/wikibase/194374</t>
  </si>
  <si>
    <t xml:space="preserve">AMD</t>
  </si>
  <si>
    <t xml:space="preserve">2017-04-09</t>
  </si>
  <si>
    <t xml:space="preserve">RPR Swami Vivekananda</t>
  </si>
  <si>
    <t xml:space="preserve">Raipur</t>
  </si>
  <si>
    <t xml:space="preserve">IndiGo A320</t>
  </si>
  <si>
    <t xml:space="preserve">Bird strike</t>
  </si>
  <si>
    <t xml:space="preserve">https://avherald.com/h?article=4a769793</t>
  </si>
  <si>
    <t xml:space="preserve">RPR</t>
  </si>
  <si>
    <t xml:space="preserve">IndiGo</t>
  </si>
  <si>
    <t xml:space="preserve">2017-05-12</t>
  </si>
  <si>
    <t xml:space="preserve">PNQ Pune</t>
  </si>
  <si>
    <t xml:space="preserve">Pune</t>
  </si>
  <si>
    <t xml:space="preserve">Air India A321-211 VT-PPA (AI849)</t>
  </si>
  <si>
    <t xml:space="preserve">Runway excursion after landing at Pune</t>
  </si>
  <si>
    <t xml:space="preserve">Minor damage; no injuries</t>
  </si>
  <si>
    <t xml:space="preserve">https://aviation-safety.net/wikibase/195344</t>
  </si>
  <si>
    <t xml:space="preserve">PNQ</t>
  </si>
  <si>
    <t xml:space="preserve">2017-06-15</t>
  </si>
  <si>
    <t xml:space="preserve">HYD Rajiv Gandhi Intl</t>
  </si>
  <si>
    <t xml:space="preserve">Hyderabad</t>
  </si>
  <si>
    <t xml:space="preserve">AirAsia ground-services officer Amrita Roy + retracting aerobridge (Kuala Lumpur-bound flight)</t>
  </si>
  <si>
    <t xml:space="preserve">Ground-staffer's hand caught in aerobridge being retracted; went into shock and died (approx date)</t>
  </si>
  <si>
    <t xml:space="preserve">1 FATALITY (AirAsia ground staff)</t>
  </si>
  <si>
    <t xml:space="preserve">https://www.indiatvnews.com/news/india/airline-employee-dies-in-freak-mishap-at-hyderabad-airport-4520.html</t>
  </si>
  <si>
    <t xml:space="preserve">HYD</t>
  </si>
  <si>
    <t xml:space="preserve">AirAsia</t>
  </si>
  <si>
    <t xml:space="preserve">2017-06-21</t>
  </si>
  <si>
    <t xml:space="preserve">GoAir A320-214 VT-GOS (G8338)</t>
  </si>
  <si>
    <t xml:space="preserve">Returned after bird strike to engine on departure</t>
  </si>
  <si>
    <t xml:space="preserve">Engine ingestion</t>
  </si>
  <si>
    <t xml:space="preserve">https://aviation-safety.net/wikibase/196289</t>
  </si>
  <si>
    <t xml:space="preserve">GoAir</t>
  </si>
  <si>
    <t xml:space="preserve">2017-07-16</t>
  </si>
  <si>
    <t xml:space="preserve">IXE Mangalore</t>
  </si>
  <si>
    <t xml:space="preserve">Mangaluru</t>
  </si>
  <si>
    <t xml:space="preserve">Air India Express B737-86N VT-GHE (IX814)</t>
  </si>
  <si>
    <t xml:space="preserve">Brief runway excursion on landing rollout, drifted right</t>
  </si>
  <si>
    <t xml:space="preserve">Minor</t>
  </si>
  <si>
    <t xml:space="preserve">https://aviation-safety.net/wikibase/196703</t>
  </si>
  <si>
    <t xml:space="preserve">IXE</t>
  </si>
  <si>
    <t xml:space="preserve">Air India Express</t>
  </si>
  <si>
    <t xml:space="preserve">2017-07-31</t>
  </si>
  <si>
    <t xml:space="preserve">Etihad A340-600</t>
  </si>
  <si>
    <t xml:space="preserve">Burst tyre on landing</t>
  </si>
  <si>
    <t xml:space="preserve">Tyre damage</t>
  </si>
  <si>
    <t xml:space="preserve">https://avherald.com/h?article=4ac59e27</t>
  </si>
  <si>
    <t xml:space="preserve">Etihad</t>
  </si>
  <si>
    <t xml:space="preserve">2017-08-06</t>
  </si>
  <si>
    <t xml:space="preserve">Air India A320</t>
  </si>
  <si>
    <t xml:space="preserve">http://avherald.com/h?article=4acc2125</t>
  </si>
  <si>
    <t xml:space="preserve">2017-09-04</t>
  </si>
  <si>
    <t xml:space="preserve">COK Cochin Intl</t>
  </si>
  <si>
    <t xml:space="preserve">Kochi</t>
  </si>
  <si>
    <t xml:space="preserve">Air India Express B737-800 (IX-452)</t>
  </si>
  <si>
    <t xml:space="preserve">Aircraft stuck in a drain canal while taxiing to international terminal</t>
  </si>
  <si>
    <t xml:space="preserve">No injuries; pax/crew evacuated</t>
  </si>
  <si>
    <t xml:space="preserve">https://en.wikipedia.org/wiki/Cochin_International_Airport</t>
  </si>
  <si>
    <t xml:space="preserve">COK</t>
  </si>
  <si>
    <t xml:space="preserve">2017-09-09</t>
  </si>
  <si>
    <t xml:space="preserve">Bird strike on departure/arrival</t>
  </si>
  <si>
    <t xml:space="preserve">https://avherald.com/h?article=4ae1ed61</t>
  </si>
  <si>
    <t xml:space="preserve">2017-09-19</t>
  </si>
  <si>
    <t xml:space="preserve">SpiceJet B737-800</t>
  </si>
  <si>
    <t xml:space="preserve">Overran runway on landing</t>
  </si>
  <si>
    <t xml:space="preserve">http://avherald.com/h?article=4ae9377c</t>
  </si>
  <si>
    <t xml:space="preserve">2017-10-01</t>
  </si>
  <si>
    <t xml:space="preserve">IXC Chandigarh</t>
  </si>
  <si>
    <t xml:space="preserve">Chandigarh</t>
  </si>
  <si>
    <t xml:space="preserve">Jet Airways B737-8AL VT-JFH (9W469)</t>
  </si>
  <si>
    <t xml:space="preserve">Bird strike on departure</t>
  </si>
  <si>
    <t xml:space="preserve">https://aviation-safety.net/wikibase/200074</t>
  </si>
  <si>
    <t xml:space="preserve">IXC</t>
  </si>
  <si>
    <t xml:space="preserve">2017-10-04</t>
  </si>
  <si>
    <t xml:space="preserve">STV Surat</t>
  </si>
  <si>
    <t xml:space="preserve">Surat</t>
  </si>
  <si>
    <t xml:space="preserve">Overran end of runway on landing</t>
  </si>
  <si>
    <t xml:space="preserve">http://avherald.com/h?article=4dfc8863</t>
  </si>
  <si>
    <t xml:space="preserve">STV</t>
  </si>
  <si>
    <t xml:space="preserve">2018-03-28</t>
  </si>
  <si>
    <t xml:space="preserve">IndiGo ATR72-600 VT-IYD (6E7117)</t>
  </si>
  <si>
    <t xml:space="preserve">Tyres burst on landing Rwy 09R</t>
  </si>
  <si>
    <t xml:space="preserve">https://aviation-safety.net/wikibase/wiki.php?id=208390</t>
  </si>
  <si>
    <t xml:space="preserve">2018-05-21</t>
  </si>
  <si>
    <t xml:space="preserve">SAG Shirdi</t>
  </si>
  <si>
    <t xml:space="preserve">Shirdi</t>
  </si>
  <si>
    <t xml:space="preserve">Alliance Air ATR 72-600 VT-AIX (9I653)</t>
  </si>
  <si>
    <t xml:space="preserve">Overran Shirdi runway on landing; stopped ~50 m past end</t>
  </si>
  <si>
    <t xml:space="preserve">70 pax safe, no injuries</t>
  </si>
  <si>
    <t xml:space="preserve">https://aaib.gov.in/Reports/2018/Serious%20Incident/SERIOUS%20INCIDENT%20TO%20AIRCRAFT%20VT-AIX%20AT%20SHIRDI%20AIRPORT%20ON%2021.05.2018.pdf</t>
  </si>
  <si>
    <t xml:space="preserve">SAG</t>
  </si>
  <si>
    <t xml:space="preserve">Alliance Air</t>
  </si>
  <si>
    <t xml:space="preserve">2018-07-10</t>
  </si>
  <si>
    <t xml:space="preserve">Air India Express B737-800 VT-AXT (IX213)</t>
  </si>
  <si>
    <t xml:space="preserve">Runway excursion on landing from Vijayawada; prolonged flare, reverser failure, aquaplaning</t>
  </si>
  <si>
    <t xml:space="preserve">Aircraft damage; no injuries</t>
  </si>
  <si>
    <t xml:space="preserve">https://aviation-safety.net/wikibase/229788</t>
  </si>
  <si>
    <t xml:space="preserve">2018-08-15</t>
  </si>
  <si>
    <t xml:space="preserve">Cochin International Airport (CIAL)</t>
  </si>
  <si>
    <t xml:space="preserve">Kerala floods: runway/taxiway/apron submerged; perimeter wall, 800 runway lights, solar farm damaged; airport shut 15-29 Aug</t>
  </si>
  <si>
    <t xml:space="preserve">Rs 200-250 crore damage; 800 runway lights destroyed; 20% solar panels damaged; 2,600 m boundary wall breached</t>
  </si>
  <si>
    <t xml:space="preserve">https://www.businesstoday.in/industry/aviation/story/kerala-floods-kochi-airport-suffers-rs-250-crore-damage-109164-2018-08-22</t>
  </si>
  <si>
    <t xml:space="preserve">Other / Unknown</t>
  </si>
  <si>
    <t xml:space="preserve">2018-09-19</t>
  </si>
  <si>
    <t xml:space="preserve">Burst tyre on departure</t>
  </si>
  <si>
    <t xml:space="preserve">https://avherald.com/h?article=4bde4bba</t>
  </si>
  <si>
    <t xml:space="preserve">2018-10-12</t>
  </si>
  <si>
    <t xml:space="preserve">TRZ Tiruchirappalli Intl</t>
  </si>
  <si>
    <t xml:space="preserve">Trichy</t>
  </si>
  <si>
    <t xml:space="preserve">Air India Express B737-800 VT-AYD (IX611)</t>
  </si>
  <si>
    <t xml:space="preserve">Tailstrike on takeoff; collided with ILS localiser antenna and boundary wall; captain's seat reclined</t>
  </si>
  <si>
    <t xml:space="preserve">Structural/gear damage; diverted to BOM</t>
  </si>
  <si>
    <t xml:space="preserve">https://aaib.gov.in/Reports/2018/Accident/Accepted%20report%20VT-AYD.pdf</t>
  </si>
  <si>
    <t xml:space="preserve">TRZ</t>
  </si>
  <si>
    <t xml:space="preserve">2018-10-15</t>
  </si>
  <si>
    <t xml:space="preserve">Air India cabin crew (Harsha Lobo) + B777 L5 door</t>
  </si>
  <si>
    <t xml:space="preserve">Air hostess fell from L5 door of B777 while closing it; no equipment in position; before AI864 BOM-DEL departure</t>
  </si>
  <si>
    <t xml:space="preserve">1 crew serious injury: compound right-leg fracture, both heels fractured, chest/abdomen/spine soft-tissue injuries</t>
  </si>
  <si>
    <t xml:space="preserve">https://www.businesstoday.in/industry/aviation/story/air-india-air-hostess-falls-off-aircraft-at-mumbai-airport-hospitalised-151820-2018-10-15</t>
  </si>
  <si>
    <t xml:space="preserve">2019-01-26</t>
  </si>
  <si>
    <t xml:space="preserve">DIU Diu</t>
  </si>
  <si>
    <t xml:space="preserve">Diu</t>
  </si>
  <si>
    <t xml:space="preserve">Alliance Air ATR 72-600 VT-AIX</t>
  </si>
  <si>
    <t xml:space="preserve">Tailstrike on landing at Diu</t>
  </si>
  <si>
    <t xml:space="preserve">Aircraft damage, no injuries</t>
  </si>
  <si>
    <t xml:space="preserve">https://aviation-safety.net/wikibase/221182</t>
  </si>
  <si>
    <t xml:space="preserve">DIU</t>
  </si>
  <si>
    <t xml:space="preserve">2019-04-29</t>
  </si>
  <si>
    <t xml:space="preserve">SpiceJet B737-800 VT-SGJ (SG946)</t>
  </si>
  <si>
    <t xml:space="preserve">Overran 2,500 m runway by ~100 ft from Delhi</t>
  </si>
  <si>
    <t xml:space="preserve">No injuries; soft-ground stop</t>
  </si>
  <si>
    <t xml:space="preserve">http://avherald.com/h?article=4c74ef01</t>
  </si>
  <si>
    <t xml:space="preserve">2019-05-03</t>
  </si>
  <si>
    <t xml:space="preserve">BBI Biju Patnaik Intl</t>
  </si>
  <si>
    <t xml:space="preserve">Bhubaneswar</t>
  </si>
  <si>
    <t xml:space="preserve">Bhubaneswar airport (AAI) — Cyclone Fani</t>
  </si>
  <si>
    <t xml:space="preserve">Cyclone Fani (gusts 130 kmph): ATC tower roof blown away, VHF antennas damaged, terminal and 600 m perimeter wall damaged</t>
  </si>
  <si>
    <t xml:space="preserve">Terminal/ATC considerably damaged; 600 m perimeter wall; airport shut ~27 hours</t>
  </si>
  <si>
    <t xml:space="preserve">https://www.outlookindia.com/national/india-news-cyclone-fani-bhubaneswar-airports-equipment-damaged-operations-likely-from-1-pm-saturday-news-329790</t>
  </si>
  <si>
    <t xml:space="preserve">BBI</t>
  </si>
  <si>
    <t xml:space="preserve">2019-06-02</t>
  </si>
  <si>
    <t xml:space="preserve">IndiGo (Delhi-Udaipur)</t>
  </si>
  <si>
    <t xml:space="preserve">Two pilots crossed active runway holding point; DGCA suspended both licences</t>
  </si>
  <si>
    <t xml:space="preserve">No injuries</t>
  </si>
  <si>
    <t xml:space="preserve">https://gulfnews.com/business/aviation/two-indigo-pilots-lose-flying-licence-over-runway-incursion-1.1573918145263</t>
  </si>
  <si>
    <t xml:space="preserve">News / DGCA</t>
  </si>
  <si>
    <t xml:space="preserve">2019-06-12</t>
  </si>
  <si>
    <t xml:space="preserve">JAI Jaipur</t>
  </si>
  <si>
    <t xml:space="preserve">Jaipur</t>
  </si>
  <si>
    <t xml:space="preserve">https://avherald.com/h?article=4c91feb7</t>
  </si>
  <si>
    <t xml:space="preserve">JAI</t>
  </si>
  <si>
    <t xml:space="preserve">2019-06-30</t>
  </si>
  <si>
    <t xml:space="preserve">IXE Mangalore Intl</t>
  </si>
  <si>
    <t xml:space="preserve">Air India Express B737-800 VT-AYA (IX384)</t>
  </si>
  <si>
    <t xml:space="preserve">Veered off taxiway after vacating Rwy 24; unstabilised approach; late touchdown</t>
  </si>
  <si>
    <t xml:space="preserve">Aircraft damage, 181 pax safe; pilot licence suspended 1 yr</t>
  </si>
  <si>
    <t xml:space="preserve">https://www.aaib.gov.in/Reports/2019/SeriousIncident/VT_AYA_at_Mangalore_on_30Jun19.pdf</t>
  </si>
  <si>
    <t xml:space="preserve">SpiceJet DHC-8-Q400 VT-SUM (SG3722)</t>
  </si>
  <si>
    <t xml:space="preserve">Overran Rwy 22 by ~270 m into soft ground during heavy downpour</t>
  </si>
  <si>
    <t xml:space="preserve">43 pax safe, aircraft damage</t>
  </si>
  <si>
    <t xml:space="preserve">https://www.aeroinside.com/13340/</t>
  </si>
  <si>
    <t xml:space="preserve">2019-07-01</t>
  </si>
  <si>
    <t xml:space="preserve">SpiceJet B737-800 VT-SYK (SG6237)</t>
  </si>
  <si>
    <t xml:space="preserve">Overran Rwy 27 in moderate/heavy rain from Jaipur; main runway closed ~2 days</t>
  </si>
  <si>
    <t xml:space="preserve">Undercarriage/engine/fuselage damage; no injuries; 2 pilots suspended 1 yr</t>
  </si>
  <si>
    <t xml:space="preserve">https://avherald.com/h?article=4c9e333b</t>
  </si>
  <si>
    <t xml:space="preserve">CCJ Kozhikode</t>
  </si>
  <si>
    <t xml:space="preserve">Kozhikode</t>
  </si>
  <si>
    <t xml:space="preserve">Air India Express B737-800</t>
  </si>
  <si>
    <t xml:space="preserve">Tail scrape on landing</t>
  </si>
  <si>
    <t xml:space="preserve">Tail damage</t>
  </si>
  <si>
    <t xml:space="preserve">https://avherald.com/h?article=4c9de14c</t>
  </si>
  <si>
    <t xml:space="preserve">CCJ</t>
  </si>
  <si>
    <t xml:space="preserve">2019-07-02</t>
  </si>
  <si>
    <t xml:space="preserve">CCU Netaji Subhas Chandra Bose</t>
  </si>
  <si>
    <t xml:space="preserve">Kolkata</t>
  </si>
  <si>
    <t xml:space="preserve">Temporary runway excursion on landing</t>
  </si>
  <si>
    <t xml:space="preserve">https://avherald.com/h?article=4c9e7156</t>
  </si>
  <si>
    <t xml:space="preserve">CCU</t>
  </si>
  <si>
    <t xml:space="preserve">2019-07-05</t>
  </si>
  <si>
    <t xml:space="preserve">SpiceJet SEJ-2763 (Surat-Mumbai)</t>
  </si>
  <si>
    <t xml:space="preserve">Crossed Rwy 14 without clearance after FO misheard ATC (similar IGO063 callsign)</t>
  </si>
  <si>
    <t xml:space="preserve">First officer's licence suspended 3 months</t>
  </si>
  <si>
    <t xml:space="preserve">https://www.businesstoday.in/industry/aviation/story/dgca-suspends-spicejet-pilot-for-mishearing-atc-which-led-to-runway-incursion-in-mumbai-223250-2019-08-31</t>
  </si>
  <si>
    <t xml:space="preserve">2019-07-10</t>
  </si>
  <si>
    <t xml:space="preserve">CCU Netaji Subhas Chandra Bose Intl</t>
  </si>
  <si>
    <t xml:space="preserve">SpiceJet Bombardier Q400 (maintenance)</t>
  </si>
  <si>
    <t xml:space="preserve">Trainee technician crushed to death when main landing-gear hydraulic doors closed during inspection</t>
  </si>
  <si>
    <t xml:space="preserve">1 fatality</t>
  </si>
  <si>
    <t xml:space="preserve">https://www.businesstoday.in/industry/aviation/story/spicejet-technician-dies-killed-at-kolkata-airport-stuck-in-landing-gear-door-aircraft-209801-2019-07-10</t>
  </si>
  <si>
    <t xml:space="preserve">2019-07-14</t>
  </si>
  <si>
    <t xml:space="preserve">MAA Chennai Intl</t>
  </si>
  <si>
    <t xml:space="preserve">Chennai</t>
  </si>
  <si>
    <t xml:space="preserve">IndiGo (Chennai-Ahmedabad)</t>
  </si>
  <si>
    <t xml:space="preserve">Pilots crossed ATC-mandated runway holding point before takeoff</t>
  </si>
  <si>
    <t xml:space="preserve">Both licences suspended 3 months</t>
  </si>
  <si>
    <t xml:space="preserve">https://theprint.in/india/dgca-suspends-air-traffic-controller-in-near-mid-air-collision-at-bengaluru-airport/977090/</t>
  </si>
  <si>
    <t xml:space="preserve">MAA</t>
  </si>
  <si>
    <t xml:space="preserve">2019-09-01</t>
  </si>
  <si>
    <t xml:space="preserve">AirAsia India A320</t>
  </si>
  <si>
    <t xml:space="preserve">Rejected takeoff due to a dog on runway</t>
  </si>
  <si>
    <t xml:space="preserve">https://avherald.com/h?article=4cc48889</t>
  </si>
  <si>
    <t xml:space="preserve">AirAsia India</t>
  </si>
  <si>
    <t xml:space="preserve">2019-10-17</t>
  </si>
  <si>
    <t xml:space="preserve">SpiceJet (two pilots suspended)</t>
  </si>
  <si>
    <t xml:space="preserve">Runway incursion incident; two SpiceJet pilots suspended 3 months by DGCA</t>
  </si>
  <si>
    <t xml:space="preserve">Pilot suspensions</t>
  </si>
  <si>
    <t xml:space="preserve">https://www.business-standard.com/article/pti-stories/dgca-suspends-two-spicejet-pilots-for-3-months-over-runway-incursion-incident-at-delhi-airport-119101701189_1.html</t>
  </si>
  <si>
    <t xml:space="preserve">2019-11-11</t>
  </si>
  <si>
    <t xml:space="preserve">BLR Kempegowda Intl</t>
  </si>
  <si>
    <t xml:space="preserve">Bengaluru</t>
  </si>
  <si>
    <t xml:space="preserve">GoAir A320neo</t>
  </si>
  <si>
    <t xml:space="preserve">Runway excursion on landing at Bangalore</t>
  </si>
  <si>
    <t xml:space="preserve">Minor; no injuries</t>
  </si>
  <si>
    <t xml:space="preserve">https://avherald.com/h?article=4cf40719</t>
  </si>
  <si>
    <t xml:space="preserve">BLR</t>
  </si>
  <si>
    <t xml:space="preserve">2020-02-15</t>
  </si>
  <si>
    <t xml:space="preserve">Air India A321-211 VT-PPU (AI852)</t>
  </si>
  <si>
    <t xml:space="preserve">Tail strike on Rwy 10 takeoff because of runway incursion by IAF vehicle</t>
  </si>
  <si>
    <t xml:space="preserve">Tail skin/fuselage frame damage</t>
  </si>
  <si>
    <t xml:space="preserve">https://aviation-safety.net/wikibase/232964</t>
  </si>
  <si>
    <t xml:space="preserve">2020-02-18</t>
  </si>
  <si>
    <t xml:space="preserve">GoAir A320-271N VT-WGY (G802)</t>
  </si>
  <si>
    <t xml:space="preserve">Rejected takeoff from Rwy 05 due to bird strike</t>
  </si>
  <si>
    <t xml:space="preserve">Engine issue</t>
  </si>
  <si>
    <t xml:space="preserve">https://aviation-safety.net/wikibase/233032</t>
  </si>
  <si>
    <t xml:space="preserve">2020-05-20</t>
  </si>
  <si>
    <t xml:space="preserve">Air India hangars 16 &amp; 17 + Alliance Air ATR-42 VT-ABB + RPG Beechcraft bizjet — Cyclone Amphan</t>
  </si>
  <si>
    <t xml:space="preserve">Cyclone Amphan (~130 kmph): 2 AI hangars collapsed; parked Beechcraft crushed under roof; runway flooded; multiple aircraft water-exposed</t>
  </si>
  <si>
    <t xml:space="preserve">2 hangars destroyed; bizjet written off; ATR-42 damaged; multi-aircraft water damage</t>
  </si>
  <si>
    <t xml:space="preserve">https://www.thequint.com/news/india/flooded-runway-caved-in-roof-cyclone-amphan-wrecks-kolkata-airport</t>
  </si>
  <si>
    <t xml:space="preserve">2020-05-22</t>
  </si>
  <si>
    <t xml:space="preserve">Air India A321 (BOM-Mangalore, 172 pax) + aerobridge</t>
  </si>
  <si>
    <t xml:space="preserve">Ground crew tried to retract aerobridge post-boarding; aerobridge moved forward and crushed aircraft door</t>
  </si>
  <si>
    <t xml:space="preserve">Aircraft door damaged, grounded; no pax injuries; pilots + 2 ground staff de-rostered; DGCA probe</t>
  </si>
  <si>
    <t xml:space="preserve">https://gulfnews.com/world/asia/india/air-india-aircraft-grounded-after-being-hit-by-aerobridge-1.67734</t>
  </si>
  <si>
    <t xml:space="preserve">2020-06-06</t>
  </si>
  <si>
    <t xml:space="preserve">SpiceJet B737-700 mobile stair (chocked) vs parked IndiGo A320</t>
  </si>
  <si>
    <t xml:space="preserve">Sudden strong winds displaced SpiceJet step-ladder into IndiGo A320's right wing</t>
  </si>
  <si>
    <t xml:space="preserve">IndiGo wing and engine cowling damaged</t>
  </si>
  <si>
    <t xml:space="preserve">https://www.business-standard.com/article/current-affairs/indigo-aircraft-hit-by-step-ladder-at-mumbai-airport-due-to-strong-winds-120060600574_1.html</t>
  </si>
  <si>
    <t xml:space="preserve">2020-06-14</t>
  </si>
  <si>
    <t xml:space="preserve">IndiGo A320neo VT-IJT (6E 9371)</t>
  </si>
  <si>
    <t xml:space="preserve">Cabin crew fell and was seriously injured during descent/flare; landed at COK</t>
  </si>
  <si>
    <t xml:space="preserve">1 cabin crew seriously injured</t>
  </si>
  <si>
    <t xml:space="preserve">https://aaib.gov.in/Reports/2020/accident/Final%20Report%20VT-IJT.pdf</t>
  </si>
  <si>
    <t xml:space="preserve">2020-06-28</t>
  </si>
  <si>
    <t xml:space="preserve">VDY Vidyanagar</t>
  </si>
  <si>
    <t xml:space="preserve">Bellary/Torangallu</t>
  </si>
  <si>
    <t xml:space="preserve">Cessna 560XL Citation XLS VT-JSS</t>
  </si>
  <si>
    <t xml:space="preserve">Runway excursion on landing</t>
  </si>
  <si>
    <t xml:space="preserve">Substantial damage; 6 pax + 2 crew survived</t>
  </si>
  <si>
    <t xml:space="preserve">https://aviation-safety.net/wikibase/319160</t>
  </si>
  <si>
    <t xml:space="preserve">VDY</t>
  </si>
  <si>
    <t xml:space="preserve">2020-08-07</t>
  </si>
  <si>
    <t xml:space="preserve">CCJ Calicut/Kozhikode</t>
  </si>
  <si>
    <t xml:space="preserve">Air India Express B737-800 VT-AXH (IX1344)</t>
  </si>
  <si>
    <t xml:space="preserve">Overran wet tabletop Rwy 10 on 3rd attempt; fell down 30 ft slope; fuselage broke in 3</t>
  </si>
  <si>
    <t xml:space="preserve">21 fatalities (incl. both pilots); 76 serious, 34 minor injuries</t>
  </si>
  <si>
    <t xml:space="preserve">https://www.flightradar24.com/blog/wp-content/uploads/2021/09/Final-Report-VT-AXH.pdf</t>
  </si>
  <si>
    <t xml:space="preserve">2020-11-13</t>
  </si>
  <si>
    <t xml:space="preserve">Air India A320neo</t>
  </si>
  <si>
    <t xml:space="preserve">Rejected takeoff from wrong runway (missed Rwy 30 edge lights)</t>
  </si>
  <si>
    <t xml:space="preserve">https://www.avherald.com/h?article=4e0097a4</t>
  </si>
  <si>
    <t xml:space="preserve">2021-01-13</t>
  </si>
  <si>
    <t xml:space="preserve">SXR Srinagar</t>
  </si>
  <si>
    <t xml:space="preserve">Srinagar</t>
  </si>
  <si>
    <t xml:space="preserve">IndiGo A321neo VT-IUZ (6E-2559 Srinagar-Delhi)</t>
  </si>
  <si>
    <t xml:space="preserve">Right-hand engine contacted pile of accumulated snow adjacent to taxiway while taxiing out</t>
  </si>
  <si>
    <t xml:space="preserve">Aircraft stuck; 231 pax deplaned; additional maintenance; replacement VT-ILC used</t>
  </si>
  <si>
    <t xml:space="preserve">https://asn.flightsafety.org/wikibase/246733</t>
  </si>
  <si>
    <t xml:space="preserve">SXR</t>
  </si>
  <si>
    <t xml:space="preserve">2021-03-20</t>
  </si>
  <si>
    <t xml:space="preserve">DHM Dharamsala-Kangra</t>
  </si>
  <si>
    <t xml:space="preserve">Dharamsala</t>
  </si>
  <si>
    <t xml:space="preserve">Alliance Air ATR72-600 VT-RKM (9I714)</t>
  </si>
  <si>
    <t xml:space="preserve">Bird strike on approach</t>
  </si>
  <si>
    <t xml:space="preserve">Landed safely</t>
  </si>
  <si>
    <t xml:space="preserve">https://aviation-safety.net/wikibase/248953</t>
  </si>
  <si>
    <t xml:space="preserve">DHM</t>
  </si>
  <si>
    <t xml:space="preserve">2021-05-17</t>
  </si>
  <si>
    <t xml:space="preserve">Mumbai Intl Airport (MIAL) + airlines — Cyclone Tauktae</t>
  </si>
  <si>
    <t xml:space="preserve">Extremely severe cyclonic storm — gusts 114 kmph; airport closed 11:00-22:00; 55+ flights cancelled, 7 diversions</t>
  </si>
  <si>
    <t xml:space="preserve">Ops suspended 11 hr; ramp equipment and parked aircraft exposed to high winds; no major airframe damage</t>
  </si>
  <si>
    <t xml:space="preserve">https://www.business-standard.com/article/current-affairs/over-55-flights-cancelled-at-mumbai-airport-due-to-tauktae-cyclone-121051701377_1.html</t>
  </si>
  <si>
    <t xml:space="preserve">2021-06-16</t>
  </si>
  <si>
    <t xml:space="preserve">IndiGo A320neo VT-IVO, VT-ITD, VT-IVQ + Go First A320neo VT-WGV, VT-WJG</t>
  </si>
  <si>
    <t xml:space="preserve">Unexpected thunderstorm with extremely high winds hit Ahmedabad; 5 parked aircraft damaged at stands (3 IndiGo, 2 Go First); boarding steps blown over, wingtip/slats damage</t>
  </si>
  <si>
    <t xml:space="preserve">5 aircraft minor/non-structural damage; DGCA probe</t>
  </si>
  <si>
    <t xml:space="preserve">https://www.business-standard.com/article/current-affairs/5-aircraft-of-indigo-go-first-damaged-at-ahmedabad-airport-due-to-storm-121061700933_1.html | https://simpleflying.com/ahmedabad-thunderstorm-plane-damage/</t>
  </si>
  <si>
    <t xml:space="preserve">2021-07-17</t>
  </si>
  <si>
    <t xml:space="preserve">Agatti/Aligarh training field</t>
  </si>
  <si>
    <t xml:space="preserve">Aligarh</t>
  </si>
  <si>
    <t xml:space="preserve">Cessna 172R VT-CAG</t>
  </si>
  <si>
    <t xml:space="preserve">Runway excursion on landing at training field</t>
  </si>
  <si>
    <t xml:space="preserve">Aircraft damage, occupants unhurt</t>
  </si>
  <si>
    <t xml:space="preserve">https://aviation-safety.net/wikibase/265563</t>
  </si>
  <si>
    <t xml:space="preserve">2021-09-06</t>
  </si>
  <si>
    <t xml:space="preserve">GAU Guwahati</t>
  </si>
  <si>
    <t xml:space="preserve">Guwahati</t>
  </si>
  <si>
    <t xml:space="preserve">IndiGo A320-271N VT-IZF (6E2329)</t>
  </si>
  <si>
    <t xml:space="preserve">Bird strike on takeoff; fan blade damage; returned</t>
  </si>
  <si>
    <t xml:space="preserve">Engine damage</t>
  </si>
  <si>
    <t xml:space="preserve">https://aviation-safety.net/wikibase/267396</t>
  </si>
  <si>
    <t xml:space="preserve">GAU</t>
  </si>
  <si>
    <t xml:space="preserve">2021-09-07</t>
  </si>
  <si>
    <t xml:space="preserve">SpiceJet B737-800 VT-SZN (SG9909)</t>
  </si>
  <si>
    <t xml:space="preserve">Landed on a closed runway at Hyderabad</t>
  </si>
  <si>
    <t xml:space="preserve">No reported injuries</t>
  </si>
  <si>
    <t xml:space="preserve">https://aviation-safety.net/wikibase/305976</t>
  </si>
  <si>
    <t xml:space="preserve">2021-09-14</t>
  </si>
  <si>
    <t xml:space="preserve">Air India A320 VT-EXB</t>
  </si>
  <si>
    <t xml:space="preserve">Bird strike on takeoff roll; rejected takeoff</t>
  </si>
  <si>
    <t xml:space="preserve">https://www.aerotime.aero/articles/28904-air-india-airbus-a320-rejected-takeoff-bird-strike</t>
  </si>
  <si>
    <t xml:space="preserve">2021-10-24</t>
  </si>
  <si>
    <t xml:space="preserve">IXG Belgaum/Belagavi</t>
  </si>
  <si>
    <t xml:space="preserve">Belagavi</t>
  </si>
  <si>
    <t xml:space="preserve">SpiceJet DHC-8-Q400 VT-SQC (SG3733)</t>
  </si>
  <si>
    <t xml:space="preserve">Cleared to Rwy 26, landed on Rwy 08 (opposite end) without ATC clearance; CVR overwritten</t>
  </si>
  <si>
    <t xml:space="preserve">Both pilots derostered; AAIB probe</t>
  </si>
  <si>
    <t xml:space="preserve">https://zeenews.india.com/companies/spicejet-fight-from-hyderabad-lands-at-wrong-end-of-runway-in-belgaum-probe-initiated-2405690.html</t>
  </si>
  <si>
    <t xml:space="preserve">IXG</t>
  </si>
  <si>
    <t xml:space="preserve">2022-01-07</t>
  </si>
  <si>
    <t xml:space="preserve">IndiGo 6E-455 (Kolkata) &amp; 6E-246 (Bhubaneswar)</t>
  </si>
  <si>
    <t xml:space="preserve">Two IndiGo A320s cleared for departure on parallel runways same time; miscoordination</t>
  </si>
  <si>
    <t xml:space="preserve">ATCO suspended; no injuries</t>
  </si>
  <si>
    <t xml:space="preserve">https://www.theweek.in/news/india/2022/01/19/two-indigo-planes-avert-mid-air-collision-over-bengaluru-airport-dgca-begins-probe.html</t>
  </si>
  <si>
    <t xml:space="preserve">2022-01-10</t>
  </si>
  <si>
    <t xml:space="preserve">Air India (BOM-Jamnagar)</t>
  </si>
  <si>
    <t xml:space="preserve">Pushback tug caught fire on apron during pushback ~13:00; tug had just returned from refuelling</t>
  </si>
  <si>
    <t xml:space="preserve">85 pax + crew safe; no aircraft damage; DGCA investigation</t>
  </si>
  <si>
    <t xml:space="preserve">https://www.business-standard.com/article/current-affairs/dgca-investigating-pushback-tractor-fire-incident-at-mumbai-airport-122011001223_1.html | https://simpleflying.com/mumbai-pushback-tug-fire/</t>
  </si>
  <si>
    <t xml:space="preserve">2022-03-12</t>
  </si>
  <si>
    <t xml:space="preserve">JLR Jabalpur (Dumna)</t>
  </si>
  <si>
    <t xml:space="preserve">Jabalpur</t>
  </si>
  <si>
    <t xml:space="preserve">Alliance Air ATR 72-600 VT-AIW (9I617)</t>
  </si>
  <si>
    <t xml:space="preserve">Unstabilised approach, bounce past midpoint, overran Rwy 06 onto RESA; 56 kt exit speed</t>
  </si>
  <si>
    <t xml:space="preserve">55 pax + 5 crew safe; aircraft damage; both pilots suspended 1 yr</t>
  </si>
  <si>
    <t xml:space="preserve">https://aaib.gov.in/Reports/2022/SeriousIncident/Final%20Report%20VT-AIW%2012%20Jan%202023%2018%20Feb%202023.pdf</t>
  </si>
  <si>
    <t xml:space="preserve">JLR</t>
  </si>
  <si>
    <t xml:space="preserve">2022-03-16</t>
  </si>
  <si>
    <t xml:space="preserve">Sulanpur airstrip</t>
  </si>
  <si>
    <t xml:space="preserve">Sulanpur</t>
  </si>
  <si>
    <t xml:space="preserve">Cessna 152 VT-PTC</t>
  </si>
  <si>
    <t xml:space="preserve">Runway excursion on landing; left main gear strut broke</t>
  </si>
  <si>
    <t xml:space="preserve">Aircraft damage; pilot uninjured</t>
  </si>
  <si>
    <t xml:space="preserve">https://aviation-safety.net/wikibase/276554</t>
  </si>
  <si>
    <t xml:space="preserve">2022-04-12</t>
  </si>
  <si>
    <t xml:space="preserve">Air India A321-211 VT-PPH (AI889)</t>
  </si>
  <si>
    <t xml:space="preserve">Tow tractor malfunctioned during pushback; towbar shear pin broke</t>
  </si>
  <si>
    <t xml:space="preserve">No injuries; aircraft grounded</t>
  </si>
  <si>
    <t xml:space="preserve">https://aviation-safety.net/wikibase/277394</t>
  </si>
  <si>
    <t xml:space="preserve">ASN / News</t>
  </si>
  <si>
    <t xml:space="preserve">2022-05-09</t>
  </si>
  <si>
    <t xml:space="preserve">SpiceJet B737 MAX 8 VT-MXI (SG8472)</t>
  </si>
  <si>
    <t xml:space="preserve">Bird strike on landing</t>
  </si>
  <si>
    <t xml:space="preserve">https://aviation-safety.net/wikibase/277988</t>
  </si>
  <si>
    <t xml:space="preserve">2022-06-19</t>
  </si>
  <si>
    <t xml:space="preserve">IndiGo A320-271N VT-ITB (6E6394)</t>
  </si>
  <si>
    <t xml:space="preserve">Bird strike climbing through 1,600 ft after takeoff</t>
  </si>
  <si>
    <t xml:space="preserve">Engine impact, returned</t>
  </si>
  <si>
    <t xml:space="preserve">https://aviation-safety.net/wikibase/279365</t>
  </si>
  <si>
    <t xml:space="preserve">PAT Jayaprakash Narayan Intl</t>
  </si>
  <si>
    <t xml:space="preserve">Patna</t>
  </si>
  <si>
    <t xml:space="preserve">SpiceJet B737-800 VT-SYZ (SG-723)</t>
  </si>
  <si>
    <t xml:space="preserve">Bird strike on left engine during takeoff rotation; engine fire; shutdown and returned to PAT</t>
  </si>
  <si>
    <t xml:space="preserve">3 fan blades damaged; 185 pax safe</t>
  </si>
  <si>
    <t xml:space="preserve">https://avherald.com/h?article=4fa7c21f</t>
  </si>
  <si>
    <t xml:space="preserve">PAT</t>
  </si>
  <si>
    <t xml:space="preserve">2022-08-02</t>
  </si>
  <si>
    <t xml:space="preserve">IndiGo A320neo VT-ITJ vs Go First Swift Dzire</t>
  </si>
  <si>
    <t xml:space="preserve">Go First car rolled under parked IndiGo nose at T2 stand; narrowly missed nose wheel</t>
  </si>
  <si>
    <t xml:space="preserve">No injuries; no aircraft damage</t>
  </si>
  <si>
    <t xml:space="preserve">https://www.businesstoday.in/industry/aviation/story/go-first-car-goes-under-indigo-plane-narrowly-avoids-collision-with-nose-wheel-343447-2022-08-02</t>
  </si>
  <si>
    <t xml:space="preserve">2022-08-05</t>
  </si>
  <si>
    <t xml:space="preserve">VNS Varanasi</t>
  </si>
  <si>
    <t xml:space="preserve">Varanasi</t>
  </si>
  <si>
    <t xml:space="preserve">Vistara A320-251N VT-TNC (UK622)</t>
  </si>
  <si>
    <t xml:space="preserve">Bird strike on takeoff</t>
  </si>
  <si>
    <t xml:space="preserve">https://aviation-safety.net/wikibase/281124</t>
  </si>
  <si>
    <t xml:space="preserve">VNS</t>
  </si>
  <si>
    <t xml:space="preserve">Vistara</t>
  </si>
  <si>
    <t xml:space="preserve">2022-08-06</t>
  </si>
  <si>
    <t xml:space="preserve">NAG Dr. Babasaheb Ambedkar Intl</t>
  </si>
  <si>
    <t xml:space="preserve">Nagpur</t>
  </si>
  <si>
    <t xml:space="preserve">IndiGo ATR-72 VT-IRA (6E-7197 ex-AMD) + 2 engineers</t>
  </si>
  <si>
    <t xml:space="preserve">Lightning struck aircraft during post-arrival inspection on apron; engineers completing walkaround were hit</t>
  </si>
  <si>
    <t xml:space="preserve">2 engineers (28 and 33) injured, 1 briefly unconscious, both hospitalised; 7 flights cancelled</t>
  </si>
  <si>
    <t xml:space="preserve">https://www.business-standard.com/article/current-affairs/two-indigo-engineers-injured-after-lightning-strike-at-nagpur-airport-122080700371_1.html</t>
  </si>
  <si>
    <t xml:space="preserve">NAG</t>
  </si>
  <si>
    <t xml:space="preserve">2022-09-26</t>
  </si>
  <si>
    <t xml:space="preserve">CNN Kannur</t>
  </si>
  <si>
    <t xml:space="preserve">Kannur</t>
  </si>
  <si>
    <t xml:space="preserve">https://avherald.com/h?article=4fee06dc</t>
  </si>
  <si>
    <t xml:space="preserve">CNN</t>
  </si>
  <si>
    <t xml:space="preserve">2022-10-27</t>
  </si>
  <si>
    <t xml:space="preserve">Akasa Air B737 MAX 8 VT-YAF (QP-1333)</t>
  </si>
  <si>
    <t xml:space="preserve">Bird strike during climb-out from Ahmedabad at 1,900 ft; radome damage</t>
  </si>
  <si>
    <t xml:space="preserve">Aircraft AOG at DEL, no injuries</t>
  </si>
  <si>
    <t xml:space="preserve">https://aviation-safety.net/wikibase/300226</t>
  </si>
  <si>
    <t xml:space="preserve">Akasa Air</t>
  </si>
  <si>
    <t xml:space="preserve">2022-10-28</t>
  </si>
  <si>
    <t xml:space="preserve">British Airways B777-200ER</t>
  </si>
  <si>
    <t xml:space="preserve">Bird strike (BLR/LHR)</t>
  </si>
  <si>
    <t xml:space="preserve">https://avherald.com/h?article=50039f55</t>
  </si>
  <si>
    <t xml:space="preserve">British Airways</t>
  </si>
  <si>
    <t xml:space="preserve">IndiGo A320 VT-IFM (6E-2131)</t>
  </si>
  <si>
    <t xml:space="preserve">Right engine sparks/fire on takeoff roll Rwy 28 at ~45 kt; rejected takeoff, evacuated</t>
  </si>
  <si>
    <t xml:space="preserve">No injuries (184 onboard); engine damage</t>
  </si>
  <si>
    <t xml:space="preserve">https://avherald.com/h?article=5003b11a</t>
  </si>
  <si>
    <t xml:space="preserve">2023-01-29</t>
  </si>
  <si>
    <t xml:space="preserve">LKO Chaudhary Charan Singh Intl</t>
  </si>
  <si>
    <t xml:space="preserve">Lucknow</t>
  </si>
  <si>
    <t xml:space="preserve">AirAsia India A320 VT-RED (I5-319)</t>
  </si>
  <si>
    <t xml:space="preserve">https://avherald.com/h?article=5046dfd1</t>
  </si>
  <si>
    <t xml:space="preserve">LKO</t>
  </si>
  <si>
    <t xml:space="preserve">2023-02-12</t>
  </si>
  <si>
    <t xml:space="preserve">BLR/PNQ</t>
  </si>
  <si>
    <t xml:space="preserve">Bengaluru/Pune</t>
  </si>
  <si>
    <t xml:space="preserve">http://avherald.com/h?article=5051d964</t>
  </si>
  <si>
    <t xml:space="preserve">2023-02-19</t>
  </si>
  <si>
    <t xml:space="preserve">TRV Trivandrum</t>
  </si>
  <si>
    <t xml:space="preserve">Thiruvananthapuram</t>
  </si>
  <si>
    <t xml:space="preserve">Nose tyre damage on landing</t>
  </si>
  <si>
    <t xml:space="preserve">http://avherald.com/h?article=50566a2d</t>
  </si>
  <si>
    <t xml:space="preserve">TRV</t>
  </si>
  <si>
    <t xml:space="preserve">2023-02-24</t>
  </si>
  <si>
    <t xml:space="preserve">Air India Express B737-800 VT-AYA (IX385)</t>
  </si>
  <si>
    <t xml:space="preserve">Tail strike on takeoff from CCJ</t>
  </si>
  <si>
    <t xml:space="preserve">https://aviation-safety.net/wikibase/308694</t>
  </si>
  <si>
    <t xml:space="preserve">2023-02-26</t>
  </si>
  <si>
    <t xml:space="preserve">IndiGo A320-271N VT-IZI (6E646)</t>
  </si>
  <si>
    <t xml:space="preserve">Bird strike to No.2 engine after departure</t>
  </si>
  <si>
    <t xml:space="preserve">https://aviation-safety.net/wikibase/308784</t>
  </si>
  <si>
    <t xml:space="preserve">2023-04-14</t>
  </si>
  <si>
    <t xml:space="preserve">NAG Nagpur</t>
  </si>
  <si>
    <t xml:space="preserve">IndiGo A321neo</t>
  </si>
  <si>
    <t xml:space="preserve">Tail strike on landing</t>
  </si>
  <si>
    <t xml:space="preserve">https://avherald.com/h?article=507f1262</t>
  </si>
  <si>
    <t xml:space="preserve">2023-05-25</t>
  </si>
  <si>
    <t xml:space="preserve">IndiGo A320neo (6E-1467)</t>
  </si>
  <si>
    <t xml:space="preserve">Bird strike on takeoff roll from Rwy 06 at ~80 kt; rejected takeoff</t>
  </si>
  <si>
    <t xml:space="preserve">https://avherald.com/h?article=509a0e06</t>
  </si>
  <si>
    <t xml:space="preserve">2023-06-11</t>
  </si>
  <si>
    <t xml:space="preserve">Tail strike on balked landing</t>
  </si>
  <si>
    <t xml:space="preserve">https://avherald.com/h?article=50a6b18c</t>
  </si>
  <si>
    <t xml:space="preserve">2023-06-15</t>
  </si>
  <si>
    <t xml:space="preserve">IndiGo A321 VT-IMW (6E6595)</t>
  </si>
  <si>
    <t xml:space="preserve">Tail strike on landing at AMD; one of 4 IndiGo A321 tail strikes Jan-Jun 2023</t>
  </si>
  <si>
    <t xml:space="preserve">Aircraft damage; captain's licence suspended 3 mo, FO 1 mo; Rs 30 lakh fine</t>
  </si>
  <si>
    <t xml:space="preserve">https://www.businesstoday.in/industry/aviation/story/dgca-suspends-licence-of-indigo-pilots-for-landing-in-ahmedabad-with-tail-strike-391324-2023-07-26</t>
  </si>
  <si>
    <t xml:space="preserve">2023-07-04</t>
  </si>
  <si>
    <t xml:space="preserve">COK Cochin</t>
  </si>
  <si>
    <t xml:space="preserve">https://avherald.com/h?article=50b60f95</t>
  </si>
  <si>
    <t xml:space="preserve">2023-07-28</t>
  </si>
  <si>
    <t xml:space="preserve">Air India B787-8</t>
  </si>
  <si>
    <t xml:space="preserve">https://avherald.com/h?article=50c61bf3</t>
  </si>
  <si>
    <t xml:space="preserve">2023-08-01</t>
  </si>
  <si>
    <t xml:space="preserve">Vistara A320neo (UK-775 BOM-CCU) + tow truck/tractor</t>
  </si>
  <si>
    <t xml:space="preserve">During pushback, tow-truck driver thrown off balance; rear of truck collided with left engine</t>
  </si>
  <si>
    <t xml:space="preserve">Engine severely damaged; aircraft grounded; 140 pax deboarded; alt aircraft arranged</t>
  </si>
  <si>
    <t xml:space="preserve">https://www.businesstoday.in/industry/aviation/story/vistara-plane-suffers-engine-damage-after-being-hit-by-tow-truck-at-mumbai-airport-passengers-safe-392438-2023-08-02</t>
  </si>
  <si>
    <t xml:space="preserve">2023-08-11</t>
  </si>
  <si>
    <t xml:space="preserve">http://avherald.com/h?article=50d071c6</t>
  </si>
  <si>
    <t xml:space="preserve">2023-08-23</t>
  </si>
  <si>
    <t xml:space="preserve">Vistara VT-TYA + VT-TNC (both A320neo)</t>
  </si>
  <si>
    <t xml:space="preserve">Landed Vistara instructed to cross 29R while another Vistara cleared for takeoff 29R</t>
  </si>
  <si>
    <t xml:space="preserve">No injuries (&gt;300 pax at risk); ATCO de-rostered</t>
  </si>
  <si>
    <t xml:space="preserve">https://aviation-safety.net/wikibase/344824</t>
  </si>
  <si>
    <t xml:space="preserve">2023-10-19</t>
  </si>
  <si>
    <t xml:space="preserve">BAM Baramati (near)</t>
  </si>
  <si>
    <t xml:space="preserve">Baramati</t>
  </si>
  <si>
    <t xml:space="preserve">Redbird FTA Tecnam P2008JC VT-RBC</t>
  </si>
  <si>
    <t xml:space="preserve">Training aircraft crashed near Baramati</t>
  </si>
  <si>
    <t xml:space="preserve">Trainee and instructor injured</t>
  </si>
  <si>
    <t xml:space="preserve">https://aaib.gov.in/</t>
  </si>
  <si>
    <t xml:space="preserve">BAM</t>
  </si>
  <si>
    <t xml:space="preserve">Redbird FTA</t>
  </si>
  <si>
    <t xml:space="preserve">2023-10-22</t>
  </si>
  <si>
    <t xml:space="preserve">Redbird FTA Tecnam P2008JC VT-RBT</t>
  </si>
  <si>
    <t xml:space="preserve">Training aircraft crash-landed near Baramati (2nd in 4 days)</t>
  </si>
  <si>
    <t xml:space="preserve">Pilot minor injury</t>
  </si>
  <si>
    <t xml:space="preserve">2023-11-07</t>
  </si>
  <si>
    <t xml:space="preserve">Air India engineer Ram Prakash Singh (56) + parked Air India aircraft at T3</t>
  </si>
  <si>
    <t xml:space="preserve">During night-shift maintenance, slipped from staircase and fell from significant height; severe head injuries</t>
  </si>
  <si>
    <t xml:space="preserve">1 FATALITY (AI engineer); FIR under IPC 304A/287; no helmet/safety gear provided</t>
  </si>
  <si>
    <t xml:space="preserve">https://www.business-standard.com/india-news/air-india-engineer-falls-to-death-while-repairing-plane-at-delhi-airport-123110701510_1.html</t>
  </si>
  <si>
    <t xml:space="preserve">2023-11-17</t>
  </si>
  <si>
    <t xml:space="preserve">IndiGo A321 VT-IUO &amp; A320 VT-ISO</t>
  </si>
  <si>
    <t xml:space="preserve">Airprox between two IndiGo departures from IGI</t>
  </si>
  <si>
    <t xml:space="preserve">https://aaib.gov.in/Reports/2024/Serious%20Incident/Preliminary%20Report%20on%20Airprox%20between%20VT-IUO%20and%20VT-ISO.pdf</t>
  </si>
  <si>
    <t xml:space="preserve">2023-11-19</t>
  </si>
  <si>
    <t xml:space="preserve">IMF Imphal</t>
  </si>
  <si>
    <t xml:space="preserve">Imphal</t>
  </si>
  <si>
    <t xml:space="preserve">N/A (airport operations)</t>
  </si>
  <si>
    <t xml:space="preserve">Unidentified flying object / suspected drone in controlled airspace; airport shut &gt;3 hours</t>
  </si>
  <si>
    <t xml:space="preserve">2 flights diverted, 3 delayed</t>
  </si>
  <si>
    <t xml:space="preserve">https://www.businesstoday.in/latest/in-focus/story/security-alert-imphal-airport-shut-down-over-unidentified-detection-of-drones-406279-2023-11-19</t>
  </si>
  <si>
    <t xml:space="preserve">IMF</t>
  </si>
  <si>
    <t xml:space="preserve">2023-12-04</t>
  </si>
  <si>
    <t xml:space="preserve">Chennai Intl Airport + airlines — Cyclone Michaung</t>
  </si>
  <si>
    <t xml:space="preserve">Apron, taxiways, runway flooded; parked aircraft photographed with wheels fully submerged; shut Dec 4 to morning Dec 5</t>
  </si>
  <si>
    <t xml:space="preserve">600+ flights cancelled over two days; parked aircraft water exposure; apron equipment inundated</t>
  </si>
  <si>
    <t xml:space="preserve">https://www.aljazeera.com/gallery/2023/12/4/cyclone-michaung-nears-southern-indian-states-water-enters-chennai-airport</t>
  </si>
  <si>
    <t xml:space="preserve">2024-01-12</t>
  </si>
  <si>
    <t xml:space="preserve">IndiGo boarding step-ladder + Mumbai T2 terminal building</t>
  </si>
  <si>
    <t xml:space="preserve">Step-ladder used by IndiGo to board pax came in contact with T2 terminal building while being towed away</t>
  </si>
  <si>
    <t xml:space="preserve">Minor damage; no injuries; outsourced driver suspended; reported to DGCA</t>
  </si>
  <si>
    <t xml:space="preserve">https://www.outlookindia.com/society/mumbai-indigo-aerobridge-strikes-with-terminal-building-news-306796</t>
  </si>
  <si>
    <t xml:space="preserve">2024-01-13</t>
  </si>
  <si>
    <t xml:space="preserve">IndiGo 6E-2301 (BOM-BBI) + aerobridge</t>
  </si>
  <si>
    <t xml:space="preserve">Pax including elderly and infants locked inside aerobridge for hours; no water, ventilation or toilet; 8:30 am dep eventually left 13:52</t>
  </si>
  <si>
    <t xml:space="preserve">Pax distress; no physical injuries; operational failure</t>
  </si>
  <si>
    <t xml:space="preserve">https://www.indiatvnews.com/maharashtra/mumbai-airport-chaos-passengers-stuck-on-aerobridge-including-actress-radhika-apte-flight-delayed-photos-video-2024-01-13-911715</t>
  </si>
  <si>
    <t xml:space="preserve">2024-01-23</t>
  </si>
  <si>
    <t xml:space="preserve">AJL Lengpui</t>
  </si>
  <si>
    <t xml:space="preserve">Aizawl</t>
  </si>
  <si>
    <t xml:space="preserve">Myanmar AF Shaanxi Y-8F-200W</t>
  </si>
  <si>
    <t xml:space="preserve">Skidded off runway on landing at civil airport Lengpui</t>
  </si>
  <si>
    <t xml:space="preserve">6-8 injured of 14; airport ops suspended</t>
  </si>
  <si>
    <t xml:space="preserve">https://aviation-safety.net/wikibase/351114</t>
  </si>
  <si>
    <t xml:space="preserve">AJL</t>
  </si>
  <si>
    <t xml:space="preserve">Myanmar AF</t>
  </si>
  <si>
    <t xml:space="preserve">2024-01-27</t>
  </si>
  <si>
    <t xml:space="preserve">Intruder</t>
  </si>
  <si>
    <t xml:space="preserve">Drunk/drug-addict intruder scaled perimeter wall, reached runway; spotted by AI pilot</t>
  </si>
  <si>
    <t xml:space="preserve">CISF head-constable suspended; FIR</t>
  </si>
  <si>
    <t xml:space="preserve">https://www.wionews.com/india-news/massive-security-breach-at-delhi-airport-leads-to-suspension-of-security-personnel-684632</t>
  </si>
  <si>
    <t xml:space="preserve">2024-02-11</t>
  </si>
  <si>
    <t xml:space="preserve">IndiGo A320 (from Amritsar)</t>
  </si>
  <si>
    <t xml:space="preserve">Missed taxiway after landing, blocked runway ~15 min; departures halted</t>
  </si>
  <si>
    <t xml:space="preserve">Ops disruption; no injuries</t>
  </si>
  <si>
    <t xml:space="preserve">https://www.businesstoday.in/india/story/indigo-plane-misses-taxiway-after-landing-in-delhi-runway-blocked-for-15-minutes-417031-2024-02-11</t>
  </si>
  <si>
    <t xml:space="preserve">2024-02-22</t>
  </si>
  <si>
    <t xml:space="preserve">Air Astana A320neo EI-KBP (KC7858) + Air India A319 VT-SCR (AI969)</t>
  </si>
  <si>
    <t xml:space="preserve">Runway incursion between departing Astana and AI</t>
  </si>
  <si>
    <t xml:space="preserve">Loss of separation; no damage</t>
  </si>
  <si>
    <t xml:space="preserve">https://aviation-safety.net/wikibase/352061</t>
  </si>
  <si>
    <t xml:space="preserve">2024-02-23</t>
  </si>
  <si>
    <t xml:space="preserve">Vistara A320neo VT-TYF (UK612)</t>
  </si>
  <si>
    <t xml:space="preserve">Bird strike on approach Rwy 31</t>
  </si>
  <si>
    <t xml:space="preserve">Aircraft AOG, flight delayed</t>
  </si>
  <si>
    <t xml:space="preserve">https://avherald.com/h?article=5155b624</t>
  </si>
  <si>
    <t xml:space="preserve">2024-03-27</t>
  </si>
  <si>
    <t xml:space="preserve">IndiGo A320 VT-ISS vs AIX B737 VT-TGG</t>
  </si>
  <si>
    <t xml:space="preserve">Taxiing IndiGo brushed wings of stationary AI Express waiting for runway clearance</t>
  </si>
  <si>
    <t xml:space="preserve">AIX wing section fell on runway; 135+131 pax safe; pilots derostered</t>
  </si>
  <si>
    <t xml:space="preserve">https://www.business-standard.com/india-news/indigo-aircraft-brushes-wings-of-air-india-express-plane-at-kolkata-airport-124032700931_1.html</t>
  </si>
  <si>
    <t xml:space="preserve">2024-03-31</t>
  </si>
  <si>
    <t xml:space="preserve">GAU Lokpriya Gopinath Bordoloi Intl</t>
  </si>
  <si>
    <t xml:space="preserve">AAI / Adani-operated Guwahati airport — sudden storm</t>
  </si>
  <si>
    <t xml:space="preserve">Sudden storm and heavy rain caused part of forecourt roof to collapse; ops halted ~45 min</t>
  </si>
  <si>
    <t xml:space="preserve">Forecourt roof section blown away; no injuries; 6 flights diverted to CCU/IXA</t>
  </si>
  <si>
    <t xml:space="preserve">https://www.business-standard.com/india-news/watch-guwahati-airport-roof-partially-collapses-due-to-storm-no-injuries-124040100304_1.html</t>
  </si>
  <si>
    <t xml:space="preserve">2024-05-16</t>
  </si>
  <si>
    <t xml:space="preserve">Air India A321 (AI-858)</t>
  </si>
  <si>
    <t xml:space="preserve">Collided with tug tractor while taxiing for takeoff</t>
  </si>
  <si>
    <t xml:space="preserve">180 pax; no injuries; 6 h delay; DGCA probe</t>
  </si>
  <si>
    <t xml:space="preserve">https://www.businesstoday.in/india/story/air-india-flight-with-180-passengers-collides-with-tug-tractor-at-pune-airport-429921-2024-05-17</t>
  </si>
  <si>
    <t xml:space="preserve">2024-05-18</t>
  </si>
  <si>
    <t xml:space="preserve">Air India Express A320-216 VT-ATF (IX1132)</t>
  </si>
  <si>
    <t xml:space="preserve">Engine #2 stall + fire after takeoff; returned to BLR; emergency evacuation via slides</t>
  </si>
  <si>
    <t xml:space="preserve">Some pax minor injuries during slide evacuation; 179 aboard</t>
  </si>
  <si>
    <t xml:space="preserve">https://bea.aero/en/investigation-reports/notified-events/detail/serious-incident-to-the-airbus-a320-registered-vt-atf-operated-by-air-india-express-on-18-05-2024-at-bengaluru-india/</t>
  </si>
  <si>
    <t xml:space="preserve">Official (AAIB / BEA)</t>
  </si>
  <si>
    <t xml:space="preserve">2024-05-25</t>
  </si>
  <si>
    <t xml:space="preserve">https://avherald.com/h?article=51931e12</t>
  </si>
  <si>
    <t xml:space="preserve">2024-05-26</t>
  </si>
  <si>
    <t xml:space="preserve">NSCBI + airlines — Cyclone Remal</t>
  </si>
  <si>
    <t xml:space="preserve">Cyclone Remal (110-135 kmph): airport shut 21 hr from 12:00 IST; precautionary aircraft securing</t>
  </si>
  <si>
    <t xml:space="preserve">394 flights impacted; no infrastructure damage per airport director</t>
  </si>
  <si>
    <t xml:space="preserve">https://www.businesstoday.in/india/story/cyclone-remal-updates-cyclonic-storm-flattens-homes-in-west-bengal-trains-flights-affected-430973-2024-05-27</t>
  </si>
  <si>
    <t xml:space="preserve">2024-06-08</t>
  </si>
  <si>
    <t xml:space="preserve">Air India VT-RTS (AI657) vs IndiGo VT-ISV (6E5053)</t>
  </si>
  <si>
    <t xml:space="preserve">Loss of separation Rwy 27R: IndiGo landed behind AI as AI was taking off; ATCO derostered</t>
  </si>
  <si>
    <t xml:space="preserve">https://avherald.com/h?article=519ac9a1</t>
  </si>
  <si>
    <t xml:space="preserve">2024-06-28</t>
  </si>
  <si>
    <t xml:space="preserve">Terminal 1 forecourt</t>
  </si>
  <si>
    <t xml:space="preserve">Section of T1 old departures roof canopy collapsed in heavy monsoon onto taxis</t>
  </si>
  <si>
    <t xml:space="preserve">1 fatality (taxi driver), 8 injured; ~22,600 pax affected</t>
  </si>
  <si>
    <t xml:space="preserve">https://www.aljazeera.com/news/2024/6/28/one-dead-after-roof-collapses-at-delhi-airport-in-heavy-rains</t>
  </si>
  <si>
    <t xml:space="preserve">2024-08-14</t>
  </si>
  <si>
    <t xml:space="preserve">AirAsia A320neo 9M-AGS (AK91)</t>
  </si>
  <si>
    <t xml:space="preserve">Bird strike on landing Rwy 23; nose radome damaged</t>
  </si>
  <si>
    <t xml:space="preserve">Aircraft grounded for repairs</t>
  </si>
  <si>
    <t xml:space="preserve">https://asn.flightsafety.org/wikibase/411582</t>
  </si>
  <si>
    <t xml:space="preserve">IndiGo passenger Ratnendu Ray + deboarding ramp at T2</t>
  </si>
  <si>
    <t xml:space="preserve">Pax slipped on moist patch on deboarding ramp during light drizzle after Chennai-Delhi flight arrival; no aerobridge used</t>
  </si>
  <si>
    <t xml:space="preserve">1 serious injury: trimalleolar fracture + ankle dislocation, surgery with plate/screws, unable to walk months</t>
  </si>
  <si>
    <t xml:space="preserve">https://www.business-standard.com/companies/news/expressing-regret-indigo-refunds-ticket-to-passenger-who-fell-on-ramp-124120501185_1.html</t>
  </si>
  <si>
    <t xml:space="preserve">Air India A321 VT-PPI (AI-684)</t>
  </si>
  <si>
    <t xml:space="preserve">Bird strike on takeoff roll Rwy 26 at ~115 kt; high-speed rejected takeoff</t>
  </si>
  <si>
    <t xml:space="preserve">Aircraft grounded ~16 hr</t>
  </si>
  <si>
    <t xml:space="preserve">https://aviation-safety.net/wikibase/410770</t>
  </si>
  <si>
    <t xml:space="preserve">2024-09-09</t>
  </si>
  <si>
    <t xml:space="preserve">IndiGo A321-251NX VT-IBI (6E6054)</t>
  </si>
  <si>
    <t xml:space="preserve">Tail strike on takeoff from DEL to Bengaluru</t>
  </si>
  <si>
    <t xml:space="preserve">Significant tail damage; pilots grounded</t>
  </si>
  <si>
    <t xml:space="preserve">https://aviation-safety.net/wikibase/424756</t>
  </si>
  <si>
    <t xml:space="preserve">2024-10-08</t>
  </si>
  <si>
    <t xml:space="preserve">Alliance Air ATR 72-600 VT-RKF (9I746)</t>
  </si>
  <si>
    <t xml:space="preserve">Sank in heavy rain, hit approach lights, touched down before threshold, tail strike suspected</t>
  </si>
  <si>
    <t xml:space="preserve">43 pax + 4 crew unharmed; aircraft damage</t>
  </si>
  <si>
    <t xml:space="preserve">https://www.aaib.gov.in/Reports/2025/Serious%20Incident/revised%20version%20VT-RKF%20(1).pdf</t>
  </si>
  <si>
    <t xml:space="preserve">2024-10-13</t>
  </si>
  <si>
    <t xml:space="preserve">Multiple</t>
  </si>
  <si>
    <t xml:space="preserve">India</t>
  </si>
  <si>
    <t xml:space="preserve">Multiple airlines (IndiGo, AI, Vistara, SpiceJet, Akasa)</t>
  </si>
  <si>
    <t xml:space="preserve">Wave of hoax bomb threats against Indian airlines; ~500 in two weeks (728 in 2024 total)</t>
  </si>
  <si>
    <t xml:space="preserve">Major operational disruption</t>
  </si>
  <si>
    <t xml:space="preserve">https://www.cnn.com/2024/10/25/india/india-bomb-threat-hoax-flights-diwali-intl-hnk</t>
  </si>
  <si>
    <t xml:space="preserve">2024-10-14</t>
  </si>
  <si>
    <t xml:space="preserve">Air India B777 (AI-119 BOM-JFK)</t>
  </si>
  <si>
    <t xml:space="preserve">Bomb threat in flight; diverted to Delhi; pax deplaned on tarmac</t>
  </si>
  <si>
    <t xml:space="preserve">https://www.businesstoday.in/industry/aviation/story/mumbai-new-york-air-india-flight-diverted-to-delhi-after-bomb-threat-449863-2024-10-14</t>
  </si>
  <si>
    <t xml:space="preserve">2024-12-05</t>
  </si>
  <si>
    <t xml:space="preserve">GOI Manohar Intl</t>
  </si>
  <si>
    <t xml:space="preserve">Air India A320-251N VT-EXT (AI2592)</t>
  </si>
  <si>
    <t xml:space="preserve">Lined up and began takeoff roll on Twy 'A' parallel to Rwy 28; aborted at 124 kt</t>
  </si>
  <si>
    <t xml:space="preserve">No damage/injuries; flight cancelled; DGCA probe</t>
  </si>
  <si>
    <t xml:space="preserve">https://aaib.gov.in/Reports/2025/Serious%20Incident/Final%20report%20VT-EXT%20rev%2003.pdf</t>
  </si>
  <si>
    <t xml:space="preserve">2024-12-17</t>
  </si>
  <si>
    <t xml:space="preserve">Tyre damage on departure</t>
  </si>
  <si>
    <t xml:space="preserve">https://avherald.com/h?article=521acb1e</t>
  </si>
  <si>
    <t xml:space="preserve">2025-03-08</t>
  </si>
  <si>
    <t xml:space="preserve">IndiGo A321-251NX VT-IBI (6E5325)</t>
  </si>
  <si>
    <t xml:space="preserve">Tail strike on landing Rwy 25 (same tail twice in 6 months)</t>
  </si>
  <si>
    <t xml:space="preserve">https://aviation-safety.net/wikibase/483821</t>
  </si>
  <si>
    <t xml:space="preserve">2025-04-11</t>
  </si>
  <si>
    <t xml:space="preserve">DIAL + airlines — severe dust storm</t>
  </si>
  <si>
    <t xml:space="preserve">Severe dust storm (74 kmph at IGI) caused chaos at T3</t>
  </si>
  <si>
    <t xml:space="preserve">200+ flights delayed; 25 diverted; 7 cancelled overnight</t>
  </si>
  <si>
    <t xml:space="preserve">https://www.business-standard.com/india-news/delhi-dust-storm-igi-airport-flights-disrupted-delayed-passengers-outraged-125041200254_1.html</t>
  </si>
  <si>
    <t xml:space="preserve">2025-04-18</t>
  </si>
  <si>
    <t xml:space="preserve">Ground-handler tempo traveller + IndiGo A320 (AOG since 2022, parked Bay 71)</t>
  </si>
  <si>
    <t xml:space="preserve">Third-party ground-handler's tempo traveller ferrying staff drove into undercarriage of AOG IndiGo aircraft; driver reportedly dozed off</t>
  </si>
  <si>
    <t xml:space="preserve">Aircraft undercarriage contact; tempo roof heavily dented; driver minor injuries; DGCA probe</t>
  </si>
  <si>
    <t xml:space="preserve">https://www.businesstoday.in/india/story/tempo-traveller-hits-parked-indigo-plane-at-bengaluru-airport-as-driver-dozes-off-dgca-launches-probe-472741-2025-04-20</t>
  </si>
  <si>
    <t xml:space="preserve">2025-05-02</t>
  </si>
  <si>
    <t xml:space="preserve">IndiGo ATR72</t>
  </si>
  <si>
    <t xml:space="preserve">Both engines momentarily flamed out</t>
  </si>
  <si>
    <t xml:space="preserve">Engines recovered</t>
  </si>
  <si>
    <t xml:space="preserve">https://avherald.com/h?article=5273c56a</t>
  </si>
  <si>
    <t xml:space="preserve">2025-05-25</t>
  </si>
  <si>
    <t xml:space="preserve">DIAL — thunderstorm</t>
  </si>
  <si>
    <t xml:space="preserve">Thunderstorm (80 mm rain, 70-80 kmph winds) damaged T1 arrival forecourt canopy again (post-June 2024 rebuild)</t>
  </si>
  <si>
    <t xml:space="preserve">T1 arrival canopy damaged; 49 flights diverted incl. 17 intl; 200 delays</t>
  </si>
  <si>
    <t xml:space="preserve">https://www.business-standard.com/industry/aviation/heavy-rains-damage-delhi-airport-terminal-1-canopy-49-flights-diverted-125052500569_1.html</t>
  </si>
  <si>
    <t xml:space="preserve">2025-06-08</t>
  </si>
  <si>
    <t xml:space="preserve">IndiGo A320 VT-IAX (6E-245)</t>
  </si>
  <si>
    <t xml:space="preserve">Rejected takeoff Rwy 19L after left V2527 engine failed during takeoff roll</t>
  </si>
  <si>
    <t xml:space="preserve">No injuries; ~28.5 h out of service</t>
  </si>
  <si>
    <t xml:space="preserve">https://avherald.com/h?article=528d2cd1</t>
  </si>
  <si>
    <t xml:space="preserve">2025-06-12</t>
  </si>
  <si>
    <t xml:space="preserve">Air India B787-8 VT-ANB (AI171)</t>
  </si>
  <si>
    <t xml:space="preserve">32 s after takeoff, both engine fuel control switches moved RUN-&gt;CUTOFF; crashed into hostel</t>
  </si>
  <si>
    <t xml:space="preserve">241/242 aboard + 19 on ground killed; 67 seriously injured</t>
  </si>
  <si>
    <t xml:space="preserve">https://i2.res.24o.it/pdf2010/Editrice/ILSOLE24ORE/ILSOLE24ORE/Online/_Oggetti_Embedded/Documenti/2025/07/12/Preliminary%20Report%20VT.pdf</t>
  </si>
  <si>
    <t xml:space="preserve">2025-06-14</t>
  </si>
  <si>
    <t xml:space="preserve">MAA Chennai</t>
  </si>
  <si>
    <t xml:space="preserve">IndiGo A320neo</t>
  </si>
  <si>
    <t xml:space="preserve">https://avherald.com/h?article=5291da24</t>
  </si>
  <si>
    <t xml:space="preserve">2025-06-19</t>
  </si>
  <si>
    <t xml:space="preserve">IndiGo (6E-6101)</t>
  </si>
  <si>
    <t xml:space="preserve">Suspected bird strike triggered technical alert; rejected takeoff before departure to Kolkata</t>
  </si>
  <si>
    <t xml:space="preserve">https://odishatv.in/news/odisha/bird-strike-at-bhubaneswar-airport-forces-indigo-flight-abortion-airline-s-second-technical-snag-in-one-day-265891</t>
  </si>
  <si>
    <t xml:space="preserve">2025-07-14</t>
  </si>
  <si>
    <t xml:space="preserve">Akasa Air B737 MAX 8 VT-YAD (QP-1736)</t>
  </si>
  <si>
    <t xml:space="preserve">Bird Group cargo truck driver misjudged wing height; vehicle clipped right winglet</t>
  </si>
  <si>
    <t xml:space="preserve">No injuries (empty aircraft); right winglet damaged</t>
  </si>
  <si>
    <t xml:space="preserve">https://gulfnews.com/business/aviation/akasa-air-plane-hit-by-cargo-truck-at-mumbai-airport-1.500197728</t>
  </si>
  <si>
    <t xml:space="preserve">2025-07-21</t>
  </si>
  <si>
    <t xml:space="preserve">Air India A320neo VT-TYA (AI2744)</t>
  </si>
  <si>
    <t xml:space="preserve">Landed on right edge of Rwy 27 in thunderstorm; wheels entered grass, regained centreline</t>
  </si>
  <si>
    <t xml:space="preserve">3 tyres burst, engine cowl damage; no pax injuries; runway temp closed</t>
  </si>
  <si>
    <t xml:space="preserve">https://www.aaib.gov.in/Reports/2025/Serious%20Incident/Preliminary%20Report%20of%20VT-TYA%20AAIB.pdf</t>
  </si>
  <si>
    <t xml:space="preserve">2025-07-22</t>
  </si>
  <si>
    <t xml:space="preserve">Air India B777 (AI315 HKG-DEL)</t>
  </si>
  <si>
    <t xml:space="preserve">APU caught fire shortly after landing during disembarkation; APU auto-shutdown</t>
  </si>
  <si>
    <t xml:space="preserve">https://www.business-standard.com/industry/aviation/air-india-plane-s-auxiliary-power-unit-catches-fire-after-landing-at-delhi-125072201177_1.html</t>
  </si>
  <si>
    <t xml:space="preserve">2025-07-23</t>
  </si>
  <si>
    <t xml:space="preserve">Rejected takeoff due to engine fire indication</t>
  </si>
  <si>
    <t xml:space="preserve">https://avherald.com/h?article=52aaa326</t>
  </si>
  <si>
    <t xml:space="preserve">2025-07-31</t>
  </si>
  <si>
    <t xml:space="preserve">Air India B787-9</t>
  </si>
  <si>
    <t xml:space="preserve">Rejected takeoff</t>
  </si>
  <si>
    <t xml:space="preserve">https://avherald.com/h?article=52b23c76</t>
  </si>
  <si>
    <t xml:space="preserve">2025-08-06</t>
  </si>
  <si>
    <t xml:space="preserve">Rejected takeoff due to engine problem</t>
  </si>
  <si>
    <t xml:space="preserve">https://avherald.com/h?article=52b56f72</t>
  </si>
  <si>
    <t xml:space="preserve">2025-08-13</t>
  </si>
  <si>
    <t xml:space="preserve">Akasa Air B737 MAX</t>
  </si>
  <si>
    <t xml:space="preserve">Contracted ground-service vehicle struck parked aircraft at gate during checks</t>
  </si>
  <si>
    <t xml:space="preserve">Undercarriage damaged</t>
  </si>
  <si>
    <t xml:space="preserve">https://aviationa2z.com/index.php/2025/08/13/akasa-air-737-hit-by-ground-equipment-at-bengaluru/</t>
  </si>
  <si>
    <t xml:space="preserve">2025-08-16</t>
  </si>
  <si>
    <t xml:space="preserve">IndiGo A321-251NX VT-ICM (6E1060)</t>
  </si>
  <si>
    <t xml:space="preserve">Tail strike during low-altitude go-around Rwy 27 (weather)</t>
  </si>
  <si>
    <t xml:space="preserve">https://aviation-safety.net/wikibase/538225</t>
  </si>
  <si>
    <t xml:space="preserve">2025-08-17</t>
  </si>
  <si>
    <t xml:space="preserve">IndiGo (6E-187)</t>
  </si>
  <si>
    <t xml:space="preserve">Rear wheels already touched when crew spotted other aircraft still on runway; go-around</t>
  </si>
  <si>
    <t xml:space="preserve">https://northeastlivetv.com/around-ne/assam/assam-around-ne/guwahati-indigo-flight-with-assam-minister-bimal-borah-onboard-lands-on-same-runway-where-another-plane-was-waiting-takes-off-again/</t>
  </si>
  <si>
    <t xml:space="preserve">2025-09-05</t>
  </si>
  <si>
    <t xml:space="preserve">Construction worker airside near T3</t>
  </si>
  <si>
    <t xml:space="preserve">Construction worker fell ~10 ft on airside near T3</t>
  </si>
  <si>
    <t xml:space="preserve">1 fatality; NHRC suo motu cognisance</t>
  </si>
  <si>
    <t xml:space="preserve">https://www.business-standard.com/india-news/construction-worker-death-delhi-airport-safety-125091900978_1.html</t>
  </si>
  <si>
    <t xml:space="preserve">2025-09-12</t>
  </si>
  <si>
    <t xml:space="preserve">SpiceJet DHC-8-Q400 SG2906</t>
  </si>
  <si>
    <t xml:space="preserve">One main LG outer wheel detached during takeoff from Kandla; wheel recovered on runway; emergency landed BOM</t>
  </si>
  <si>
    <t xml:space="preserve">75 pax safe; FOD event</t>
  </si>
  <si>
    <t xml:space="preserve">https://www.business-standard.com/industry/aviation/spicejet-q400-aircraft-loses-wheel-after-take-off-lands-safely-in-mumbai-125091200980_1.html</t>
  </si>
  <si>
    <t xml:space="preserve">2025-10-28</t>
  </si>
  <si>
    <t xml:space="preserve">Air India SATS (AISATS) CNG crew-bus + parked Air India aircraft near bay C-34/32</t>
  </si>
  <si>
    <t xml:space="preserve">AISATS CNG crew bus caught fire near parking pier during crew pickup for Hong Kong-Delhi flight; suspected short-circuit/rear-engine fire</t>
  </si>
  <si>
    <t xml:space="preserve">~30% of bus destroyed; no injuries; aircraft unharmed; ARFF response within minutes</t>
  </si>
  <si>
    <t xml:space="preserve">https://www.khaleejtimes.com/world/asia/air-india-bus-catches-fire-new-delhi-airport</t>
  </si>
  <si>
    <t xml:space="preserve">2025-12-12</t>
  </si>
  <si>
    <t xml:space="preserve">IXR Birsa Munda Airport</t>
  </si>
  <si>
    <t xml:space="preserve">Ranchi</t>
  </si>
  <si>
    <t xml:space="preserve">https://avherald.com/h?article=53119bcf</t>
  </si>
  <si>
    <t xml:space="preserve">IXR</t>
  </si>
  <si>
    <t xml:space="preserve">Runway Excursion</t>
  </si>
  <si>
    <t xml:space="preserve">Runway Incursion</t>
  </si>
  <si>
    <t xml:space="preserve">Ground Collision</t>
  </si>
  <si>
    <t xml:space="preserve">Tarmac Fire</t>
  </si>
  <si>
    <t xml:space="preserve">Fuel Spill</t>
  </si>
  <si>
    <t xml:space="preserve">Bird Strike Ground</t>
  </si>
  <si>
    <t xml:space="preserve">Security Breach</t>
  </si>
  <si>
    <t xml:space="preserve">Apron Incident</t>
  </si>
  <si>
    <t xml:space="preserve">Other</t>
  </si>
  <si>
    <t xml:space="preserve">Total</t>
  </si>
  <si>
    <t xml:space="preserve">Airport (IATA)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</si>
  <si>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</si>
  <si>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</si>
  <si>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</si>
  <si>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</si>
  <si>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</si>
  <si>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</si>
  <si>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</si>
  <si>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</si>
  <si>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</si>
  <si>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</si>
  <si>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Incident type</t>
  </si>
  <si>
    <t xml:space="preserve">01 Jan</t>
  </si>
  <si>
    <t xml:space="preserve">02 Feb</t>
  </si>
  <si>
    <t xml:space="preserve">03 Mar</t>
  </si>
  <si>
    <t xml:space="preserve">04 Apr</t>
  </si>
  <si>
    <t xml:space="preserve">05 May</t>
  </si>
  <si>
    <t xml:space="preserve">06 Jun</t>
  </si>
  <si>
    <t xml:space="preserve">07 Jul</t>
  </si>
  <si>
    <t xml:space="preserve">08 Aug</t>
  </si>
  <si>
    <t xml:space="preserve">09 Sep</t>
  </si>
  <si>
    <t xml:space="preserve">10 Oct</t>
  </si>
  <si>
    <t xml:space="preserve">11 Nov</t>
  </si>
  <si>
    <t xml:space="preserve">12 Dec</t>
  </si>
  <si>
    <t xml:space="preserve">Prepared by</t>
  </si>
  <si>
    <t xml:space="preserve">Safety Matters Foundation.</t>
  </si>
  <si>
    <t xml:space="preserve">Purpose</t>
  </si>
  <si>
    <t xml:space="preserve">List of ground incidents at Indian civil airports, 2016-2025, compiled from official AAIB/DGCA sources, Aviation Safety Network, Aviation Herald, and Indian &amp; international news media.</t>
  </si>
  <si>
    <t xml:space="preserve">Version</t>
  </si>
  <si>
    <t xml:space="preserve">Patched to 144 rows following three successive research rounds covering (a) official/ASN/avherald/news sweep, (b) specific weather and pushback-fire patches, and (c) apron-vehicle, aerobridge, weather-ramp and personnel-fall follow-up.</t>
  </si>
  <si>
    <t xml:space="preserve">Scope included</t>
  </si>
  <si>
    <t xml:space="preserve">Runway excursions, runway incursions, ground collisions (aircraft-aircraft, aircraft-vehicle, pushback/tow), tarmac fires and rejected takeoffs with fire/smoke, fuel spills, bird strikes on takeoff/landing roll, tarmac security breaches (perimeter intrusion, hoax bomb threats affecting ground ops), apron incidents (worker fatalities, burst tyres, tail strikes on landing/takeoff).</t>
  </si>
  <si>
    <t xml:space="preserve">Scope excluded</t>
  </si>
  <si>
    <t xml:space="preserve">Pure in-flight incidents (engine failures at cruise, turbulence, non-ground-contact diversions), military-only airfields. Dual-use airports (Pune, Goa-Dabolim, Srinagar, Port Blair, Lengpui, etc.) are included when the incident involves civil operations.</t>
  </si>
  <si>
    <t xml:space="preserve">Sources used</t>
  </si>
  <si>
    <t xml:space="preserve">AAIB India final/preliminary reports; DGCA orders &amp; press notices; BEA France notifications for Air India/AIX events; Aviation Safety Network (aviation-safety.net / asn.flightsafety.org); Aviation Herald (avherald.com); Business Standard, Business Today, The Week, Hindu, Hindustan Times, ThePrint, Tribune, Outlook, NDTV, Al Jazeera, CNN, Reuters, Gulf News.</t>
  </si>
  <si>
    <t xml:space="preserve">Dedup key</t>
  </si>
  <si>
    <t xml:space="preserve">(Date, IATA code, aircraft registration fragment). When multiple sources reported the same event, URLs are consolidated in the 'Source URL(s)' column separated by ' | '.</t>
  </si>
  <si>
    <t xml:space="preserve">Known gaps</t>
  </si>
  <si>
    <t xml:space="preserve">(1) AAIB India / DGCA / MoCA / Parliament Q&amp;A PDF repositories were not fully reachable from this environment, so the list is not exhaustive — many minor DGCA-logged incidents (burst tyres, minor tail strikes, small-airport events) are likely missing. (2) 2016-2017 coverage is thinner than later years. (3) Pagination of ASN's VT country listing was not fully walked. (4) Some incident_type labels are best-effort classifications based on available descriptions. (5) The fuel_spill category has zero rows in the public record — this reflects that fuel spills on the apron / runway are either very rare in India or systematically under-reported relative to other categories; in-flight fuel leaks and low-fuel Mayday diversions are NOT fuel spills and are excluded from this category by definition.</t>
  </si>
  <si>
    <t xml:space="preserve">Recommendation</t>
  </si>
  <si>
    <t xml:space="preserve">For comprehensive regulatory-grade data, request the DGCA Annual Safety Review PDFs and AAIB's public report index directly from dgca.gov.in and aaib.gov.in, which together contain several hundred additional ground-event entries for 2016-2025.</t>
  </si>
  <si>
    <t xml:space="preserve">Incident-type vocabulary</t>
  </si>
  <si>
    <t xml:space="preserve">runway_excursion = aircraft leaves paved runway surface (overrun, veer-off). runway_incursion = unauthorized entry onto runway by aircraft, vehicle, person, or animal; also wrong-runway takeoffs and taxiway takeoffs. ground_collision = aircraft struck by another aircraft, vehicle, or tow tractor. tarmac_fire = fire/smoke on ground, including rejected takeoffs with engine fire. fuel_spill = fuel leak on ramp. bird_strike_ground = bird ingestion during takeoff or landing roll or taxi. security_breach = unauthorized airside access, bomb threats, drones. apron_incident = worker injury/fatality on apron, tail strikes on landing or takeoff, burst tyres, other ramp-level events.</t>
  </si>
  <si>
    <t xml:space="preserve">Date format</t>
  </si>
  <si>
    <t xml:space="preserve">ISO YYYY-MM-DD. Where only the month was reported, the 15th of the month is used; these rows are rare and the description notes the uncertainty.</t>
  </si>
  <si>
    <t xml:space="preserve">Contact-worthy items</t>
  </si>
  <si>
    <t xml:space="preserve">The 2020 Kozhikode (IX1344) runway-excursion accident and the 2025 Ahmedabad AI171 takeoff crash are included for completeness even though primary causation was not strictly 'ground' — both events began in the takeoff/landing ground phase and had catastrophic ground consequences.</t>
  </si>
  <si>
    <t xml:space="preserve">CAR 5, Series F, Part III — breath-analyser / psychoactive-substance positives</t>
  </si>
  <si>
    <t xml:space="preserve">Pre-duty regulatory violations among ground-side and flight-side aviation personnel at Indian civil airports. Distinct from the 144-row Incidents sheet (CAR 5-F-IV MOR).</t>
  </si>
  <si>
    <t xml:space="preserve">Methodology. Under DGCA CAR Section 5, Series F, Part III (Revision 4, July 2024), a breath-analyser</t>
  </si>
  <si>
    <t xml:space="preserve">positive test or a refusal by any person engaged in aircraft operations, aircraft maintenance, air-traffic</t>
  </si>
  <si>
    <t xml:space="preserve">control, aerodrome operations or ground-handling services is a REPORTABLE REGULATORY VIOLATION.</t>
  </si>
  <si>
    <t xml:space="preserve">The case must be reported to the concerned DGCA Regional Office and HQ within 24 hours of occurrence</t>
  </si>
  <si>
    <t xml:space="preserve">and triggers licence / approval suspension: first positive = 3 months, second = 3 years, third = cancellation</t>
  </si>
  <si>
    <t xml:space="preserve">(with counselling options added in the 2024 revision for minor first-time flight-crew readings).</t>
  </si>
  <si>
    <t xml:space="preserve">This is distinct from CAR Section 5, Series F, Part IV — Mandatory Occurrence Reporting — which captures</t>
  </si>
  <si>
    <t xml:space="preserve">operational incidents under the ICAO Annex 13 definition. The 144-row Incidents sheet in this workbook</t>
  </si>
  <si>
    <t xml:space="preserve">uses CAR 5-F-IV / CICTT categories and does NOT include CAR 5-F-III violations. They are captured here</t>
  </si>
  <si>
    <t xml:space="preserve">for completeness, because pre-duty impairment among ground-side staff is a material public-safety</t>
  </si>
  <si>
    <t xml:space="preserve">concern that DGCA does not aggregate publicly. No individual events in the main Incidents sheet have,</t>
  </si>
  <si>
    <t xml:space="preserve">to SMF's knowledge, a publicly-documented BA-positive as a contributory factor.</t>
  </si>
  <si>
    <t xml:space="preserve">A. Aggregate DGCA figures, public record</t>
  </si>
  <si>
    <t xml:space="preserve">Reporting period</t>
  </si>
  <si>
    <t xml:space="preserve">Population</t>
  </si>
  <si>
    <t xml:space="preserve">Positives</t>
  </si>
  <si>
    <t xml:space="preserve">Refusals</t>
  </si>
  <si>
    <t xml:space="preserve">Breakdown / notes</t>
  </si>
  <si>
    <t xml:space="preserve">Source type</t>
  </si>
  <si>
    <t xml:space="preserve">Notes</t>
  </si>
  <si>
    <t xml:space="preserve">Jan 2021 – Mar 2022</t>
  </si>
  <si>
    <t xml:space="preserve">Ground-side staff (42 civil airports)</t>
  </si>
  <si>
    <t xml:space="preserve">Not published</t>
  </si>
  <si>
    <t xml:space="preserve">54 of 84 were drivers (baggage-cart, loader, pushback-tug operators). Remainder: aerobridge operators, loaders, wiremen, ramp supervisors, ground-support-service teams, ARFF. No per-airport or per-concessionaire breakdown published.</t>
  </si>
  <si>
    <t xml:space="preserve">https://zeenews.india.com/aviation/after-pilots-and-cabin-crew-42-indian-airports-report-84-drunk-staff-on-duty-dgca-2463724.html</t>
  </si>
  <si>
    <t xml:space="preserve">News citing DGCA</t>
  </si>
  <si>
    <t xml:space="preserve">Aggregate only; individual event dates and airports not public.</t>
  </si>
  <si>
    <t xml:space="preserve">Jan–Feb 2022</t>
  </si>
  <si>
    <t xml:space="preserve">Ground-side staff (airport drivers, firefighters, AMEs)</t>
  </si>
  <si>
    <t xml:space="preserve">≈12</t>
  </si>
  <si>
    <t xml:space="preserve">Interim count within the broader Jan 2021–Mar 2022 window above. Drivers, firefighters and maintenance staff all represented.</t>
  </si>
  <si>
    <t xml:space="preserve">https://thefederal.com/news/dgca-on-drunk-at-work-airport-staff/</t>
  </si>
  <si>
    <t xml:space="preserve">Category mix confirms ground-side scope beyond drivers.</t>
  </si>
  <si>
    <t xml:space="preserve">Full year 2021</t>
  </si>
  <si>
    <t xml:space="preserve">Flight-crew (pilots + cabin crew)</t>
  </si>
  <si>
    <t xml:space="preserve">Reference figure for comparative context. Of 59, 19 were pilots and 40 were cabin crew.</t>
  </si>
  <si>
    <t xml:space="preserve">https://www.business-standard.com/article/economy-policy/no-pilot-tests-positive-for-drugs-cabin-crew-alcohol-shows-revival-in-2022-122060300739_1.html</t>
  </si>
  <si>
    <t xml:space="preserve">Flight-side figures published far more consistently than ground-side.</t>
  </si>
  <si>
    <t xml:space="preserve">Jan–Apr 2022</t>
  </si>
  <si>
    <t xml:space="preserve">9 pilots + 32 cabin crew; public via Business Today reporting of DGCA disclosure.</t>
  </si>
  <si>
    <t xml:space="preserve">https://www.businesstoday.in/industry/aviation/story/dgca-says-9-pilots-32-cabin-crew-failed-breath-analyser-tests-in-last-4-months-333039-2022-05-10</t>
  </si>
  <si>
    <t xml:space="preserve">Reference figure.</t>
  </si>
  <si>
    <t xml:space="preserve">H1 2022</t>
  </si>
  <si>
    <t xml:space="preserve">Flight-crew</t>
  </si>
  <si>
    <t xml:space="preserve">14 pilots + 54 cabin crew.</t>
  </si>
  <si>
    <t xml:space="preserve">H1 2023</t>
  </si>
  <si>
    <t xml:space="preserve">33 pilots + 97 cabin-crew; year-over-year escalation per DGCA reply.</t>
  </si>
  <si>
    <t xml:space="preserve">https://www.business-standard.com/industry/news/33-pilots-97-cabin-crew-members-found-drunk-on-duty-in-h1-of-2023-dgca-123091700569_1.html</t>
  </si>
  <si>
    <t xml:space="preserve">2022 (Nov) single case</t>
  </si>
  <si>
    <t xml:space="preserve">ATCO, Delhi IGI</t>
  </si>
  <si>
    <t xml:space="preserve">0</t>
  </si>
  <si>
    <t xml:space="preserve">Duty ATCO at IGI removed after positive psychoactive-substance (drug) test — not alcohol. Distinct enforcement strand but same CAR family.</t>
  </si>
  <si>
    <t xml:space="preserve">https://www.100knots.com/atc-at-delhi-airport-removed-from-duty-by-dgca-as-he-tests-positive-for-psychoactive-drug/ | https://www.aerotime.aero/articles/31969-atc-controller-fails-drug-test-while-on-duty-in-india</t>
  </si>
  <si>
    <t xml:space="preserve">Psychoactive substances are covered by the same CAR 5-F-III procedure.</t>
  </si>
  <si>
    <t xml:space="preserve">Nov 2019 spot sweep</t>
  </si>
  <si>
    <t xml:space="preserve">Airside staff at Mumbai CSM</t>
  </si>
  <si>
    <t xml:space="preserve">See source</t>
  </si>
  <si>
    <t xml:space="preserve">DGCA surprise BA sweep at Mumbai airport; numerical results not publicly disclosed in full.</t>
  </si>
  <si>
    <t xml:space="preserve">https://aviationsafety.news.blog/2019/11/24/dgca-conducts-surprise-breath-analyser-test-on-airside-staff-at-mumbai-airport/</t>
  </si>
  <si>
    <t xml:space="preserve">Aviation Safety India</t>
  </si>
  <si>
    <t xml:space="preserve">Operational illustration of scope; actual positivity count not in public record.</t>
  </si>
  <si>
    <t xml:space="preserve">B. Individual publicly-identified cases (populate as surfaced)</t>
  </si>
  <si>
    <t xml:space="preserve">Staff category</t>
  </si>
  <si>
    <t xml:space="preserve">Employer / concessionaire</t>
  </si>
  <si>
    <t xml:space="preserve">Substance</t>
  </si>
  <si>
    <t xml:space="preserve">Test type (random / cause / post-incident)</t>
  </si>
  <si>
    <t xml:space="preserve">Enforcement action</t>
  </si>
  <si>
    <t xml:space="preserve">Source URL</t>
  </si>
  <si>
    <t xml:space="preserve">2022-11-xx</t>
  </si>
  <si>
    <t xml:space="preserve">ATCO (Air Traffic Control Officer)</t>
  </si>
  <si>
    <t xml:space="preserve">AAI</t>
  </si>
  <si>
    <t xml:space="preserve">Psychoactive substance (drug)</t>
  </si>
  <si>
    <t xml:space="preserve">Random (on duty)</t>
  </si>
  <si>
    <t xml:space="preserve">Removed from duty; CAR 5-F-III action</t>
  </si>
  <si>
    <t xml:space="preserve">https://www.100knots.com/atc-at-delhi-airport-removed-from-duty-by-dgca-as-he-tests-positive-for-psychoactive-drug/</t>
  </si>
  <si>
    <t xml:space="preserve">C. Publicly-unavailable data worth pursuing</t>
  </si>
  <si>
    <t xml:space="preserve">• Quarterly or annual ground-side CAR 5-F-III positives beyond March 2022 (DGCA has not aggregated publicly since).</t>
  </si>
  <si>
    <t xml:space="preserve">• Per-airport or per-concessionaire breakdowns of the 84-case Jan 2021–Mar 2022 aggregate.</t>
  </si>
  <si>
    <t xml:space="preserve">• Refusal-to-test counts (treated as positive under CAR 5-F-III).</t>
  </si>
  <si>
    <t xml:space="preserve">• Confirmation-test positivity rates after the mandatory 20–25 minute retest.</t>
  </si>
  <si>
    <t xml:space="preserve">• Psychoactive-substance positivity across all ground-side categories (the Delhi ATCO case above is the only publicly-identified individual case).</t>
  </si>
  <si>
    <t xml:space="preserve">• Cross-reference of any Incidents-sheet row with CAR 5-F-III findings (no such cross-reference currently exists in the public record).</t>
  </si>
  <si>
    <t xml:space="preserve">Prepared by Safety Matters Foundation. Not a comprehensive DGCA dataset — an illustrative companion. If DGCA publishes CAR 5-F-III aggregates at airport/concessionaire granularity, this sheet should be replaced with that.</t>
  </si>
  <si>
    <t xml:space="preserve">The data gap — DGCA/AAI/Parliament official figures vs the SMF public-record dataset</t>
  </si>
  <si>
    <t xml:space="preserve">Sources: Lok Sabha / Rajya Sabha written replies (Digital Sansad), MoCA, AAI SPI-SPT Booklet 2024, DGCA Annual Safety Review 2023, SMF 144-row dataset.</t>
  </si>
  <si>
    <t xml:space="preserve">A. Wildlife / bird-hit incidents at Indian airports — official vs SMF public record</t>
  </si>
  <si>
    <t xml:space="preserve">Parliament / MoCA number (all-India)</t>
  </si>
  <si>
    <t xml:space="preserve">SMF public-record count</t>
  </si>
  <si>
    <t xml:space="preserve">SMF share (%)</t>
  </si>
  <si>
    <t xml:space="preserve">Order-of-magnitude gap</t>
  </si>
  <si>
    <t xml:space="preserve">Source (Parliament / news report)</t>
  </si>
  <si>
    <t xml:space="preserve">MoS Civil Aviation reply, Lok Sabha; 'limited flights but strikes rose' report (BSAC / FACTLY)</t>
  </si>
  <si>
    <t xml:space="preserve">MoS Civil Aviation reply; pandemic-depressed year</t>
  </si>
  <si>
    <t xml:space="preserve">FACTLY summary of MoCA data tabled 2023</t>
  </si>
  <si>
    <t xml:space="preserve">Rajya Sabha reply by MoS General V K Singh (TMC Santanu Sen Q)</t>
  </si>
  <si>
    <t xml:space="preserve">Parliament reply; continuing trend</t>
  </si>
  <si>
    <t xml:space="preserve">Lok Sabha reply by MoS Murlidhar Mohol; 6,337 in last 5 years cumulative</t>
  </si>
  <si>
    <t xml:space="preserve">Total 2020-2025</t>
  </si>
  <si>
    <t xml:space="preserve">SMF captures &lt;2% of the Parliament-reported figure.</t>
  </si>
  <si>
    <t xml:space="preserve">B. Cumulative bird hits by airport since 2020 — Parliament reply vs SMF</t>
  </si>
  <si>
    <t xml:space="preserve">Parliament cumulative (since 2020)</t>
  </si>
  <si>
    <t xml:space="preserve">SMF public-record (2020-2025)</t>
  </si>
  <si>
    <t xml:space="preserve">C. Runway incursions — AAI SPI rate (2024) implied count vs SMF public record</t>
  </si>
  <si>
    <t xml:space="preserve">AAI SPI rate (/1M movements)</t>
  </si>
  <si>
    <t xml:space="preserve">Approx movements (M)</t>
  </si>
  <si>
    <t xml:space="preserve">Implied count</t>
  </si>
  <si>
    <t xml:space="preserve">SMF public-record</t>
  </si>
  <si>
    <t xml:space="preserve">AAI 2024 target was 9.78/1M (missed). Loss-of-SA component alone was 5.91/1M against target 4.54.</t>
  </si>
  <si>
    <t xml:space="preserve">D. How to read this</t>
  </si>
  <si>
    <t xml:space="preserve">• The SMF public-record dataset is a floor on safety-event visibility, not a ceiling on Indian civil-aviation ground-phase risk.</t>
  </si>
  <si>
    <t xml:space="preserve">• For bird strikes, Parliament-tabled data captures the DGCA Mandatory Occurrence Report (MOR) register — 6,337 wildlife strikes over 2020-2024. SMF captures 25 bird-strike rows for 2016-2025 — under 2% of what the regulator logs.</t>
  </si>
  <si>
    <t xml:space="preserve">• For runway incursions, AAI's SPI-SPT Booklet 2024 gives an actual rate of 14.12 per million movements. Applied to 2024's ~1.35M movements, the implied 2024 incursion count is ~19. SMF captures 4 — about 21%.</t>
  </si>
  <si>
    <t xml:space="preserve">• The ratio varies sharply by category. High-visibility events (accidents, serious incidents with media coverage) are captured at high rates in the SMF dataset; low-visibility events (wildlife strikes, minor ramp hits, BA positives, loss-of-SA incursions without aircraft contact) are captured at very low rates.</t>
  </si>
  <si>
    <t xml:space="preserve">• The correct interpretation: use SMF numbers to describe individual cases, categories and narratives. Use DGCA/AAI/Parliament numbers to describe scale and rate. Do not aggregate across the two regimes.</t>
  </si>
  <si>
    <t xml:space="preserve">2015-12-16</t>
  </si>
  <si>
    <t xml:space="preserve">Air India A319 VT-SCQ (AI619)</t>
  </si>
  <si>
    <t xml:space="preserve">Ground engineer sucked into #2 engine during pushback/taxi; SOP non-adherence</t>
  </si>
  <si>
    <t xml:space="preserve">1 ground staff fatality</t>
  </si>
  <si>
    <t xml:space="preserve">https://aaib.gov.in/Reports/2015/Accident/Accepted%20Report%20VT-SCQ.pdf</t>
  </si>
  <si>
    <t xml:space="preserve">These rows are outside the 2016-2025 scope but are referenced by AAIB reports.</t>
  </si>
  <si>
    <t xml:space="preserve">Post-scope events — outside the 2016–2025 analytical window</t>
  </si>
  <si>
    <t xml:space="preserve">These rows are preserved for reference but are NOT included in the 119 / 121-row main dataset, charts, or pivots.</t>
  </si>
  <si>
    <t xml:space="preserve">2026-02-03</t>
  </si>
  <si>
    <t xml:space="preserve">Air India A320 AI2732 vs IndiGo A320 (6E791)</t>
  </si>
  <si>
    <t xml:space="preserve">Right wingtips of two taxiing A320s touched (AI2732 departing C1→M4; 6E791 arrival joining Twy B1)</t>
  </si>
  <si>
    <t xml:space="preserve">Wing damage both aircraft; pax safe; DGCA inquiry</t>
  </si>
  <si>
    <t xml:space="preserve">https://www.theweek.in/news/biz-tech/2026/02/03/air-india-indigo-wing-tips-collide-on-taxiway-at-mumbai-airport-all-passengers-safe.html</t>
  </si>
  <si>
    <t xml:space="preserve">News/DGCA</t>
  </si>
  <si>
    <t xml:space="preserve">2026-03-28</t>
  </si>
  <si>
    <t xml:space="preserve">AISATS pushback tractor / Etihad B777-300F EY215 cargo</t>
  </si>
  <si>
    <t xml:space="preserve">Pushback tractor caught fire during pushback of Etihad cargo B777 EY215; suspected electrical/mechanical fault</t>
  </si>
  <si>
    <t xml:space="preserve">No damage to aircraft; aircraft later departed; operations not impacted; DGCA probe</t>
  </si>
  <si>
    <t xml:space="preserve">https://www.outlookbusiness.com/news/aircraft-pushback-vehicle-catches-fire-at-delhi-airport-sources | https://www.devdiscourse.com/article/business/3839223-blaze-at-delhi-airport-pushback-tractor-ignites-no-harm-to-plane</t>
  </si>
  <si>
    <t xml:space="preserve">2026-04-07</t>
  </si>
  <si>
    <t xml:space="preserve">Unmanned catering vehicle → IndiGo A320neo (parked, Bay 51)</t>
  </si>
  <si>
    <t xml:space="preserve">Catering vehicle lurched forward on start and struck parked IndiGo's right engine</t>
  </si>
  <si>
    <t xml:space="preserve">Engine minor damage; no pax/crew on board; AAI inquiry</t>
  </si>
  <si>
    <t xml:space="preserve">https://www.business-standard.com/industry/aviation/indigo-aircraft-hit-by-unmanned-vehicle-at-kolkata-airport-plane-grounded-126040800043_1.html</t>
  </si>
  <si>
    <t xml:space="preserve">News/AAI</t>
  </si>
  <si>
    <t xml:space="preserve">2026-04-16</t>
  </si>
  <si>
    <t xml:space="preserve">DEL Indira Gandhi Intl (T1)</t>
  </si>
  <si>
    <t xml:space="preserve">SpiceJet B737-700 (taxiing, from Leh) vs Akasa Air (stationary)</t>
  </si>
  <si>
    <t xml:space="preserve">SpiceJet right winglet struck Akasa's left horizontal stabiliser near Bay at T1 ~14:15</t>
  </si>
  <si>
    <t xml:space="preserve">Visible damage both aircraft; pax safe; DGCA probe; pilots + ATCO off-duty</t>
  </si>
  <si>
    <t xml:space="preserve">https://www.tribuneindia.com/news/delhi/akasa-air-spicejet-planes-come-in-contact-at-delhi-airport-suffer-damages/</t>
  </si>
  <si>
    <t xml:space="preserve">Note: 2026 events are partial and opportunistic; they are NOT an exhaustive post-scope sweep. If the analysis window is extended to 2026, a dedicated research pass should be run.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</si>
</sst>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"/>
    <numFmt numFmtId="167" formatCode="0.0\%"/>
    <numFmt numFmtId="168" formatCode="0.00\%"/>
    <numFmt numFmtId="169" formatCode="0.00"/>
    <numFmt numFmtId="170" formatCode="0\%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8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8"/>
      <name val="Arial"/>
      <family val="0"/>
      <charset val="1"/>
    </font>
    <font>
      <b val="true"/>
      <sz val="16"/>
      <name val="Arial"/>
      <family val="0"/>
      <charset val="1"/>
    </font>
    <font>
      <i val="true"/>
      <sz val="11"/>
      <color rgb="FF1F4E7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1"/>
      <name val="Arial"/>
      <family val="0"/>
      <charset val="1"/>
    </font>
    <font>
      <b val="true"/>
      <sz val="14"/>
      <color rgb="FF1F4E78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i val="true"/>
      <sz val="9"/>
      <color rgb="FF666666"/>
      <name val="Arial"/>
      <family val="0"/>
      <charset val="1"/>
    </font>
    <font>
      <i val="true"/>
      <sz val="11"/>
      <color rgb="FFC0504D"/>
      <name val="Cambria"/>
      <family val="0"/>
      <charset val="1"/>
    </font>
    <font>
      <i val="true"/>
      <sz val="9"/>
      <name val="Cambria"/>
      <family val="0"/>
      <charset val="1"/>
    </font>
    <font>
      <b val="true"/>
      <sz val="14"/>
      <color rgb="FFC0504D"/>
      <name val="Arial"/>
      <family val="0"/>
      <charset val="1"/>
    </font>
    <font>
      <i val="true"/>
      <sz val="10"/>
      <color rgb="FF666666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C0504D"/>
        <bgColor rgb="FFAB474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666666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8CD97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444444"/>
      <rgbColor rgb="FF993300"/>
      <rgbColor rgb="FFC0504D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Incidents by year and CICTT-equivalent type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'Pivot - Year x Type'!B1</c:f>
              <c:strCache>
                <c:ptCount val="1"/>
                <c:pt idx="0">
                  <c:v>Runway Excursion</c:v>
                </c:pt>
              </c:strCache>
            </c:strRef>
          </c:tx>
          <c:spPr>
            <a:solidFill>
              <a:srgbClr val="4672A8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Type'!$B$2:$B$11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'Pivot - Year x Type'!C1</c:f>
              <c:strCache>
                <c:ptCount val="1"/>
                <c:pt idx="0">
                  <c:v>Runway Incursion</c:v>
                </c:pt>
              </c:strCache>
            </c:strRef>
          </c:tx>
          <c:spPr>
            <a:solidFill>
              <a:srgbClr val="AB4744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Type'!$C$2:$C$11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'Pivot - Year x Type'!D1</c:f>
              <c:strCache>
                <c:ptCount val="1"/>
                <c:pt idx="0">
                  <c:v>Ground Collision</c:v>
                </c:pt>
              </c:strCache>
            </c:strRef>
          </c:tx>
          <c:spPr>
            <a:solidFill>
              <a:srgbClr val="8AA64F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Type'!$D$2:$D$11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ser>
          <c:idx val="3"/>
          <c:order val="3"/>
          <c:tx>
            <c:strRef>
              <c:f>'Pivot - Year x Type'!E1</c:f>
              <c:strCache>
                <c:ptCount val="1"/>
                <c:pt idx="0">
                  <c:v>Tarmac Fire</c:v>
                </c:pt>
              </c:strCache>
            </c:strRef>
          </c:tx>
          <c:spPr>
            <a:solidFill>
              <a:srgbClr val="725990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Type'!$E$2:$E$11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</c:ser>
        <c:ser>
          <c:idx val="4"/>
          <c:order val="4"/>
          <c:tx>
            <c:strRef>
              <c:f>'Pivot - Year x Type'!F1</c:f>
              <c:strCache>
                <c:ptCount val="1"/>
                <c:pt idx="0">
                  <c:v>Fuel Spill</c:v>
                </c:pt>
              </c:strCache>
            </c:strRef>
          </c:tx>
          <c:spPr>
            <a:solidFill>
              <a:srgbClr val="4299B0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'Pivot - Year x Type'!G1</c:f>
              <c:strCache>
                <c:ptCount val="1"/>
                <c:pt idx="0">
                  <c:v>Bird Strike Ground</c:v>
                </c:pt>
              </c:strCache>
            </c:strRef>
          </c:tx>
          <c:spPr>
            <a:solidFill>
              <a:srgbClr val="DC853E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Type'!$G$2:$G$11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</c:ser>
        <c:ser>
          <c:idx val="6"/>
          <c:order val="6"/>
          <c:tx>
            <c:strRef>
              <c:f>'Pivot - Year x Type'!H1</c:f>
              <c:strCache>
                <c:ptCount val="1"/>
                <c:pt idx="0">
                  <c:v>Security Breach</c:v>
                </c:pt>
              </c:strCache>
            </c:strRef>
          </c:tx>
          <c:spPr>
            <a:solidFill>
              <a:srgbClr val="93A9CE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Type'!$H$2:$H$11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'Pivot - Year x Type'!I1</c:f>
              <c:strCache>
                <c:ptCount val="1"/>
                <c:pt idx="0">
                  <c:v>Apron Incident</c:v>
                </c:pt>
              </c:strCache>
            </c:strRef>
          </c:tx>
          <c:spPr>
            <a:solidFill>
              <a:srgbClr val="D09493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Type'!$I$2:$I$11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</c:ser>
        <c:ser>
          <c:idx val="8"/>
          <c:order val="8"/>
          <c:tx>
            <c:strRef>
              <c:f>'Pivot - Year x Type'!J1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8CD97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- Year x Type'!$A$2:$A$11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'Pivot - Year x Type'!$J$2:$J$11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gapWidth val="150"/>
        <c:overlap val="100"/>
        <c:axId val="24072506"/>
        <c:axId val="84312139"/>
      </c:barChart>
      <c:catAx>
        <c:axId val="240725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312139"/>
        <c:crosses val="autoZero"/>
        <c:auto val="1"/>
        <c:lblAlgn val="ctr"/>
        <c:lblOffset val="100"/>
        <c:noMultiLvlLbl val="0"/>
      </c:catAx>
      <c:valAx>
        <c:axId val="8431213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407250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0</xdr:rowOff>
    </xdr:from>
    <xdr:to>
      <xdr:col>4</xdr:col>
      <xdr:colOff>1191960</xdr:colOff>
      <xdr:row>21</xdr:row>
      <xdr:rowOff>95040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151272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10</xdr:col>
      <xdr:colOff>1192320</xdr:colOff>
      <xdr:row>21</xdr:row>
      <xdr:rowOff>95040</xdr:rowOff>
    </xdr:to>
    <xdr:pic>
      <xdr:nvPicPr>
        <xdr:cNvPr id="2" name="Image 2" descr="Picture"/>
        <xdr:cNvPicPr/>
      </xdr:nvPicPr>
      <xdr:blipFill>
        <a:blip r:embed="rId2"/>
        <a:stretch/>
      </xdr:blipFill>
      <xdr:spPr>
        <a:xfrm>
          <a:off x="5640840" y="151272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</xdr:col>
      <xdr:colOff>1191960</xdr:colOff>
      <xdr:row>43</xdr:row>
      <xdr:rowOff>94680</xdr:rowOff>
    </xdr:to>
    <xdr:pic>
      <xdr:nvPicPr>
        <xdr:cNvPr id="3" name="Image 3" descr="Picture"/>
        <xdr:cNvPicPr/>
      </xdr:nvPicPr>
      <xdr:blipFill>
        <a:blip r:embed="rId3"/>
        <a:stretch/>
      </xdr:blipFill>
      <xdr:spPr>
        <a:xfrm>
          <a:off x="0" y="570348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10</xdr:col>
      <xdr:colOff>1192320</xdr:colOff>
      <xdr:row>43</xdr:row>
      <xdr:rowOff>94680</xdr:rowOff>
    </xdr:to>
    <xdr:pic>
      <xdr:nvPicPr>
        <xdr:cNvPr id="4" name="Image 4" descr="Picture"/>
        <xdr:cNvPicPr/>
      </xdr:nvPicPr>
      <xdr:blipFill>
        <a:blip r:embed="rId4"/>
        <a:stretch/>
      </xdr:blipFill>
      <xdr:spPr>
        <a:xfrm>
          <a:off x="5640840" y="570348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4</xdr:col>
      <xdr:colOff>1191960</xdr:colOff>
      <xdr:row>65</xdr:row>
      <xdr:rowOff>95040</xdr:rowOff>
    </xdr:to>
    <xdr:pic>
      <xdr:nvPicPr>
        <xdr:cNvPr id="5" name="Image 5" descr="Picture"/>
        <xdr:cNvPicPr/>
      </xdr:nvPicPr>
      <xdr:blipFill>
        <a:blip r:embed="rId5"/>
        <a:stretch/>
      </xdr:blipFill>
      <xdr:spPr>
        <a:xfrm>
          <a:off x="0" y="989460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10</xdr:col>
      <xdr:colOff>1192320</xdr:colOff>
      <xdr:row>65</xdr:row>
      <xdr:rowOff>95040</xdr:rowOff>
    </xdr:to>
    <xdr:pic>
      <xdr:nvPicPr>
        <xdr:cNvPr id="6" name="Image 6" descr="Picture"/>
        <xdr:cNvPicPr/>
      </xdr:nvPicPr>
      <xdr:blipFill>
        <a:blip r:embed="rId6"/>
        <a:stretch/>
      </xdr:blipFill>
      <xdr:spPr>
        <a:xfrm>
          <a:off x="5640840" y="989460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4</xdr:col>
      <xdr:colOff>1191960</xdr:colOff>
      <xdr:row>89</xdr:row>
      <xdr:rowOff>95040</xdr:rowOff>
    </xdr:to>
    <xdr:pic>
      <xdr:nvPicPr>
        <xdr:cNvPr id="7" name="Image 7" descr="Picture"/>
        <xdr:cNvPicPr/>
      </xdr:nvPicPr>
      <xdr:blipFill>
        <a:blip r:embed="rId7"/>
        <a:stretch/>
      </xdr:blipFill>
      <xdr:spPr>
        <a:xfrm>
          <a:off x="0" y="1446660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10</xdr:col>
      <xdr:colOff>1192320</xdr:colOff>
      <xdr:row>89</xdr:row>
      <xdr:rowOff>95040</xdr:rowOff>
    </xdr:to>
    <xdr:pic>
      <xdr:nvPicPr>
        <xdr:cNvPr id="8" name="Image 8" descr="Picture"/>
        <xdr:cNvPicPr/>
      </xdr:nvPicPr>
      <xdr:blipFill>
        <a:blip r:embed="rId8"/>
        <a:stretch/>
      </xdr:blipFill>
      <xdr:spPr>
        <a:xfrm>
          <a:off x="5640840" y="14466600"/>
          <a:ext cx="4952520" cy="2761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0</xdr:rowOff>
    </xdr:from>
    <xdr:to>
      <xdr:col>7</xdr:col>
      <xdr:colOff>448200</xdr:colOff>
      <xdr:row>32</xdr:row>
      <xdr:rowOff>170640</xdr:rowOff>
    </xdr:to>
    <xdr:graphicFrame>
      <xdr:nvGraphicFramePr>
        <xdr:cNvPr id="9" name="Chart 1"/>
        <xdr:cNvGraphicFramePr/>
      </xdr:nvGraphicFramePr>
      <xdr:xfrm>
        <a:off x="0" y="2666880"/>
        <a:ext cx="791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Incidents" displayName="Incidents" ref="A1:K145" headerRowCount="1" totalsRowCount="0" totalsRowShown="0">
  <autoFilter ref="A1:K145"/>
  <tableColumns count="11">
    <tableColumn id="1" name="Date"/>
    <tableColumn id="2" name="Airport"/>
    <tableColumn id="3" name="City"/>
    <tableColumn id="4" name="Incident Type"/>
    <tableColumn id="5" name="Aircraft / Operator"/>
    <tableColumn id="6" name="Description"/>
    <tableColumn id="7" name="Injuries / Damage"/>
    <tableColumn id="8" name="Source URL(s)"/>
    <tableColumn id="9" name="Source Type"/>
    <tableColumn id="10" name="IATA"/>
    <tableColumn id="11" name="Operator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3" style="0" width="18"/>
    <col collapsed="false" customWidth="true" hidden="false" outlineLevel="0" max="5" min="5" style="0" width="18"/>
    <col collapsed="false" customWidth="true" hidden="false" outlineLevel="0" max="7" min="7" style="0" width="18"/>
    <col collapsed="false" customWidth="true" hidden="false" outlineLevel="0" max="9" min="9" style="0" width="18"/>
    <col collapsed="false" customWidth="true" hidden="false" outlineLevel="0" max="11" min="11" style="0" width="18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/>
      <c r="C4" s="3" t="s">
        <v>3</v>
      </c>
      <c r="D4" s="3"/>
      <c r="E4" s="3" t="s">
        <v>4</v>
      </c>
      <c r="F4" s="3"/>
      <c r="G4" s="3" t="s">
        <v>5</v>
      </c>
      <c r="H4" s="3"/>
      <c r="I4" s="3" t="s">
        <v>6</v>
      </c>
      <c r="J4" s="3"/>
      <c r="K4" s="3" t="s">
        <v>7</v>
      </c>
      <c r="L4" s="3"/>
    </row>
    <row r="5" customFormat="false" ht="22.05" hidden="false" customHeight="false" outlineLevel="0" collapsed="false">
      <c r="A5" s="4" t="n">
        <f aca="false">COUNTA(Incidents!A2:A1000)</f>
        <v>144</v>
      </c>
      <c r="B5" s="4"/>
      <c r="C5" s="4" t="str">
        <f aca="false">"2016–2025"</f>
        <v>2016–2025</v>
      </c>
      <c r="D5" s="4"/>
      <c r="E5" s="4" t="n">
        <f aca="false">SUMPRODUCT((Incidents!J2:J1000&lt;&gt;"")/COUNTIF(Incidents!J2:J1000,Incidents!J2:J1000&amp;""))</f>
        <v>39</v>
      </c>
      <c r="F5" s="4"/>
      <c r="G5" s="4" t="n">
        <f aca="false">COUNTIF(Incidents!D:D,"runway_excursion")</f>
        <v>27</v>
      </c>
      <c r="H5" s="4"/>
      <c r="I5" s="4" t="n">
        <f aca="false">COUNTIF(Incidents!D:D,"runway_incursion")</f>
        <v>17</v>
      </c>
      <c r="J5" s="4"/>
      <c r="K5" s="4" t="n">
        <f aca="false">COUNTIF(Incidents!D:D,"bird_strike_ground")</f>
        <v>25</v>
      </c>
      <c r="L5" s="4"/>
    </row>
  </sheetData>
  <mergeCells count="14">
    <mergeCell ref="A1:L1"/>
    <mergeCell ref="A2:L2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8"/>
    <col collapsed="false" customWidth="true" hidden="false" outlineLevel="0" max="3" min="3" style="0" width="24"/>
    <col collapsed="false" customWidth="true" hidden="false" outlineLevel="0" max="5" min="4" style="0" width="22"/>
    <col collapsed="false" customWidth="true" hidden="false" outlineLevel="0" max="6" min="6" style="0" width="50"/>
    <col collapsed="false" customWidth="true" hidden="false" outlineLevel="0" max="8" min="7" style="0" width="12"/>
  </cols>
  <sheetData>
    <row r="1" customFormat="false" ht="17.35" hidden="false" customHeight="false" outlineLevel="0" collapsed="false">
      <c r="A1" s="16" t="s">
        <v>986</v>
      </c>
      <c r="B1" s="16"/>
      <c r="C1" s="16"/>
      <c r="D1" s="16"/>
      <c r="E1" s="16"/>
      <c r="F1" s="16"/>
      <c r="G1" s="16"/>
      <c r="H1" s="16"/>
    </row>
    <row r="2" customFormat="false" ht="30" hidden="false" customHeight="true" outlineLevel="0" collapsed="false">
      <c r="A2" s="17" t="s">
        <v>987</v>
      </c>
      <c r="B2" s="17"/>
      <c r="C2" s="17"/>
      <c r="D2" s="17"/>
      <c r="E2" s="17"/>
      <c r="F2" s="17"/>
      <c r="G2" s="17"/>
      <c r="H2" s="17"/>
    </row>
    <row r="4" customFormat="false" ht="15" hidden="false" customHeight="false" outlineLevel="0" collapsed="false">
      <c r="A4" s="19" t="s">
        <v>988</v>
      </c>
    </row>
    <row r="5" customFormat="false" ht="26.85" hidden="false" customHeight="false" outlineLevel="0" collapsed="false">
      <c r="A5" s="10" t="s">
        <v>20</v>
      </c>
      <c r="B5" s="10" t="s">
        <v>989</v>
      </c>
      <c r="C5" s="10" t="s">
        <v>990</v>
      </c>
      <c r="D5" s="10" t="s">
        <v>991</v>
      </c>
      <c r="E5" s="10" t="s">
        <v>992</v>
      </c>
      <c r="F5" s="10" t="s">
        <v>993</v>
      </c>
    </row>
    <row r="6" customFormat="false" ht="23.85" hidden="false" customHeight="false" outlineLevel="0" collapsed="false">
      <c r="A6" s="22" t="n">
        <v>2020</v>
      </c>
      <c r="B6" s="23" t="n">
        <v>1152</v>
      </c>
      <c r="C6" s="22" t="n">
        <v>1</v>
      </c>
      <c r="D6" s="24" t="n">
        <f aca="false">C6/B6*100</f>
        <v>0.0868055555555556</v>
      </c>
      <c r="E6" s="22" t="n">
        <f aca="false">IF(C6=0,"n/a",ROUND(LOG10(B6/MAX(C6,1)),1))</f>
        <v>3.1</v>
      </c>
      <c r="F6" s="25" t="s">
        <v>994</v>
      </c>
    </row>
    <row r="7" customFormat="false" ht="15" hidden="false" customHeight="false" outlineLevel="0" collapsed="false">
      <c r="A7" s="22" t="n">
        <v>2021</v>
      </c>
      <c r="B7" s="23" t="n">
        <v>775</v>
      </c>
      <c r="C7" s="22" t="n">
        <v>3</v>
      </c>
      <c r="D7" s="24" t="n">
        <f aca="false">C7/B7*100</f>
        <v>0.387096774193548</v>
      </c>
      <c r="E7" s="22" t="n">
        <f aca="false">IF(C7=0,"n/a",ROUND(LOG10(B7/MAX(C7,1)),1))</f>
        <v>2.4</v>
      </c>
      <c r="F7" s="25" t="s">
        <v>995</v>
      </c>
    </row>
    <row r="8" customFormat="false" ht="15" hidden="false" customHeight="false" outlineLevel="0" collapsed="false">
      <c r="A8" s="22" t="n">
        <v>2022</v>
      </c>
      <c r="B8" s="23" t="n">
        <v>1131</v>
      </c>
      <c r="C8" s="22" t="n">
        <v>7</v>
      </c>
      <c r="D8" s="24" t="n">
        <f aca="false">C8/B8*100</f>
        <v>0.618921308576481</v>
      </c>
      <c r="E8" s="22" t="n">
        <f aca="false">IF(C8=0,"n/a",ROUND(LOG10(B8/MAX(C8,1)),1))</f>
        <v>2.2</v>
      </c>
      <c r="F8" s="25" t="s">
        <v>996</v>
      </c>
    </row>
    <row r="9" customFormat="false" ht="23.85" hidden="false" customHeight="false" outlineLevel="0" collapsed="false">
      <c r="A9" s="22" t="n">
        <v>2023</v>
      </c>
      <c r="B9" s="23" t="n">
        <v>1371</v>
      </c>
      <c r="C9" s="22" t="n">
        <v>4</v>
      </c>
      <c r="D9" s="24" t="n">
        <f aca="false">C9/B9*100</f>
        <v>0.291757840991977</v>
      </c>
      <c r="E9" s="22" t="n">
        <f aca="false">IF(C9=0,"n/a",ROUND(LOG10(B9/MAX(C9,1)),1))</f>
        <v>2.5</v>
      </c>
      <c r="F9" s="25" t="s">
        <v>997</v>
      </c>
    </row>
    <row r="10" customFormat="false" ht="15" hidden="false" customHeight="false" outlineLevel="0" collapsed="false">
      <c r="A10" s="22" t="n">
        <v>2024</v>
      </c>
      <c r="B10" s="23" t="n">
        <v>1278</v>
      </c>
      <c r="C10" s="22" t="n">
        <v>4</v>
      </c>
      <c r="D10" s="24" t="n">
        <f aca="false">C10/B10*100</f>
        <v>0.312989045383412</v>
      </c>
      <c r="E10" s="22" t="n">
        <f aca="false">IF(C10=0,"n/a",ROUND(LOG10(B10/MAX(C10,1)),1))</f>
        <v>2.5</v>
      </c>
      <c r="F10" s="25" t="s">
        <v>998</v>
      </c>
    </row>
    <row r="11" customFormat="false" ht="23.85" hidden="false" customHeight="false" outlineLevel="0" collapsed="false">
      <c r="A11" s="22" t="n">
        <v>2025</v>
      </c>
      <c r="B11" s="23" t="n">
        <v>1782</v>
      </c>
      <c r="C11" s="22" t="n">
        <v>1</v>
      </c>
      <c r="D11" s="24" t="n">
        <f aca="false">C11/B11*100</f>
        <v>0.0561167227833895</v>
      </c>
      <c r="E11" s="22" t="n">
        <f aca="false">IF(C11=0,"n/a",ROUND(LOG10(B11/MAX(C11,1)),1))</f>
        <v>3.3</v>
      </c>
      <c r="F11" s="25" t="s">
        <v>999</v>
      </c>
    </row>
    <row r="12" customFormat="false" ht="15" hidden="false" customHeight="false" outlineLevel="0" collapsed="false">
      <c r="A12" s="14" t="s">
        <v>1000</v>
      </c>
      <c r="B12" s="26" t="n">
        <v>7489</v>
      </c>
      <c r="C12" s="14" t="n">
        <v>20</v>
      </c>
      <c r="D12" s="27" t="n">
        <f aca="false">C12/B12*100</f>
        <v>0.267058352249967</v>
      </c>
      <c r="E12" s="14" t="n">
        <f aca="false">ROUND(LOG10(B12/MAX(C12,1)),1)</f>
        <v>2.6</v>
      </c>
      <c r="F12" s="28" t="s">
        <v>1001</v>
      </c>
    </row>
    <row r="14" customFormat="false" ht="15" hidden="false" customHeight="false" outlineLevel="0" collapsed="false">
      <c r="A14" s="19" t="s">
        <v>1002</v>
      </c>
    </row>
    <row r="15" customFormat="false" ht="15" hidden="false" customHeight="false" outlineLevel="0" collapsed="false">
      <c r="A15" s="29" t="s">
        <v>853</v>
      </c>
      <c r="B15" s="29" t="s">
        <v>34</v>
      </c>
      <c r="C15" s="29" t="s">
        <v>1003</v>
      </c>
      <c r="D15" s="29" t="s">
        <v>1004</v>
      </c>
      <c r="E15" s="29" t="s">
        <v>991</v>
      </c>
    </row>
    <row r="16" customFormat="false" ht="15" hidden="false" customHeight="false" outlineLevel="0" collapsed="false">
      <c r="A16" s="22" t="s">
        <v>96</v>
      </c>
      <c r="B16" s="22" t="s">
        <v>91</v>
      </c>
      <c r="C16" s="22" t="n">
        <v>695</v>
      </c>
      <c r="D16" s="22" t="n">
        <v>2</v>
      </c>
      <c r="E16" s="30" t="n">
        <f aca="false">D16/C16*100</f>
        <v>0.287769784172662</v>
      </c>
    </row>
    <row r="17" customFormat="false" ht="15" hidden="false" customHeight="false" outlineLevel="0" collapsed="false">
      <c r="A17" s="22" t="s">
        <v>51</v>
      </c>
      <c r="B17" s="22" t="s">
        <v>45</v>
      </c>
      <c r="C17" s="22" t="n">
        <v>407</v>
      </c>
      <c r="D17" s="22" t="n">
        <v>0</v>
      </c>
      <c r="E17" s="30" t="n">
        <f aca="false">D17/C17*100</f>
        <v>0</v>
      </c>
    </row>
    <row r="18" customFormat="false" ht="15" hidden="false" customHeight="false" outlineLevel="0" collapsed="false">
      <c r="A18" s="22" t="s">
        <v>335</v>
      </c>
      <c r="B18" s="22" t="s">
        <v>330</v>
      </c>
      <c r="C18" s="22" t="n">
        <v>343</v>
      </c>
      <c r="D18" s="22" t="n">
        <v>1</v>
      </c>
      <c r="E18" s="30" t="n">
        <f aca="false">D18/C18*100</f>
        <v>0.291545189504373</v>
      </c>
    </row>
    <row r="19" customFormat="false" ht="15" hidden="false" customHeight="false" outlineLevel="0" collapsed="false">
      <c r="A19" s="22" t="s">
        <v>121</v>
      </c>
      <c r="B19" s="22" t="s">
        <v>116</v>
      </c>
      <c r="C19" s="22" t="n">
        <v>337</v>
      </c>
      <c r="D19" s="22" t="n">
        <v>3</v>
      </c>
      <c r="E19" s="30" t="n">
        <f aca="false">D19/C19*100</f>
        <v>0.890207715133531</v>
      </c>
    </row>
    <row r="21" customFormat="false" ht="15" hidden="false" customHeight="false" outlineLevel="0" collapsed="false">
      <c r="A21" s="19" t="s">
        <v>1005</v>
      </c>
    </row>
    <row r="22" customFormat="false" ht="15" hidden="false" customHeight="false" outlineLevel="0" collapsed="false">
      <c r="A22" s="29" t="s">
        <v>20</v>
      </c>
      <c r="B22" s="29" t="s">
        <v>1006</v>
      </c>
      <c r="C22" s="29" t="s">
        <v>1007</v>
      </c>
      <c r="D22" s="29" t="s">
        <v>1008</v>
      </c>
      <c r="E22" s="29" t="s">
        <v>1009</v>
      </c>
      <c r="F22" s="29" t="s">
        <v>991</v>
      </c>
    </row>
    <row r="23" customFormat="false" ht="15" hidden="false" customHeight="false" outlineLevel="0" collapsed="false">
      <c r="A23" s="22" t="n">
        <v>2024</v>
      </c>
      <c r="B23" s="31" t="n">
        <v>14.12</v>
      </c>
      <c r="C23" s="31" t="n">
        <v>1.35</v>
      </c>
      <c r="D23" s="22" t="n">
        <f aca="false">ROUND(B23*C23,0)</f>
        <v>19</v>
      </c>
      <c r="E23" s="22" t="n">
        <v>4</v>
      </c>
      <c r="F23" s="32" t="n">
        <f aca="false">E23/D23*100</f>
        <v>21.0526315789474</v>
      </c>
    </row>
    <row r="25" customFormat="false" ht="15" hidden="false" customHeight="false" outlineLevel="0" collapsed="false">
      <c r="A25" s="33" t="s">
        <v>1010</v>
      </c>
      <c r="B25" s="33"/>
      <c r="C25" s="33"/>
      <c r="D25" s="33"/>
      <c r="E25" s="33"/>
      <c r="F25" s="33"/>
      <c r="G25" s="33"/>
      <c r="H25" s="33"/>
    </row>
    <row r="27" customFormat="false" ht="15" hidden="false" customHeight="false" outlineLevel="0" collapsed="false">
      <c r="A27" s="19" t="s">
        <v>1011</v>
      </c>
    </row>
    <row r="28" customFormat="false" ht="36" hidden="false" customHeight="true" outlineLevel="0" collapsed="false">
      <c r="A28" s="34" t="s">
        <v>1012</v>
      </c>
      <c r="B28" s="34"/>
      <c r="C28" s="34"/>
      <c r="D28" s="34"/>
      <c r="E28" s="34"/>
      <c r="F28" s="34"/>
      <c r="G28" s="34"/>
      <c r="H28" s="34"/>
    </row>
    <row r="29" customFormat="false" ht="36" hidden="false" customHeight="true" outlineLevel="0" collapsed="false">
      <c r="A29" s="34" t="s">
        <v>1013</v>
      </c>
      <c r="B29" s="34"/>
      <c r="C29" s="34"/>
      <c r="D29" s="34"/>
      <c r="E29" s="34"/>
      <c r="F29" s="34"/>
      <c r="G29" s="34"/>
      <c r="H29" s="34"/>
    </row>
    <row r="30" customFormat="false" ht="36" hidden="false" customHeight="true" outlineLevel="0" collapsed="false">
      <c r="A30" s="34" t="s">
        <v>1014</v>
      </c>
      <c r="B30" s="34"/>
      <c r="C30" s="34"/>
      <c r="D30" s="34"/>
      <c r="E30" s="34"/>
      <c r="F30" s="34"/>
      <c r="G30" s="34"/>
      <c r="H30" s="34"/>
    </row>
    <row r="31" customFormat="false" ht="36" hidden="false" customHeight="true" outlineLevel="0" collapsed="false">
      <c r="A31" s="34" t="s">
        <v>1015</v>
      </c>
      <c r="B31" s="34"/>
      <c r="C31" s="34"/>
      <c r="D31" s="34"/>
      <c r="E31" s="34"/>
      <c r="F31" s="34"/>
      <c r="G31" s="34"/>
      <c r="H31" s="34"/>
    </row>
    <row r="32" customFormat="false" ht="36" hidden="false" customHeight="true" outlineLevel="0" collapsed="false">
      <c r="A32" s="34" t="s">
        <v>1016</v>
      </c>
      <c r="B32" s="34"/>
      <c r="C32" s="34"/>
      <c r="D32" s="34"/>
      <c r="E32" s="34"/>
      <c r="F32" s="34"/>
      <c r="G32" s="34"/>
      <c r="H32" s="34"/>
    </row>
  </sheetData>
  <mergeCells count="8">
    <mergeCell ref="A1:H1"/>
    <mergeCell ref="A2:H2"/>
    <mergeCell ref="A25:H25"/>
    <mergeCell ref="A28:H28"/>
    <mergeCell ref="A29:H29"/>
    <mergeCell ref="A30:H30"/>
    <mergeCell ref="A31:H31"/>
    <mergeCell ref="A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8" width="12"/>
    <col collapsed="false" customWidth="true" hidden="false" outlineLevel="0" max="2" min="2" style="8" width="32"/>
    <col collapsed="false" customWidth="true" hidden="false" outlineLevel="0" max="3" min="3" style="8" width="18"/>
    <col collapsed="false" customWidth="true" hidden="false" outlineLevel="0" max="4" min="4" style="8" width="20"/>
    <col collapsed="false" customWidth="true" hidden="false" outlineLevel="0" max="5" min="5" style="8" width="38"/>
    <col collapsed="false" customWidth="true" hidden="false" outlineLevel="0" max="6" min="6" style="8" width="70"/>
    <col collapsed="false" customWidth="true" hidden="false" outlineLevel="0" max="7" min="7" style="8" width="38"/>
    <col collapsed="false" customWidth="true" hidden="false" outlineLevel="0" max="8" min="8" style="8" width="55"/>
    <col collapsed="false" customWidth="true" hidden="false" outlineLevel="0" max="9" min="9" style="8" width="20"/>
  </cols>
  <sheetData>
    <row r="1" customFormat="false" ht="15" hidden="false" customHeight="true" outlineLevel="0" collapsed="false">
      <c r="A1" s="11" t="s">
        <v>32</v>
      </c>
      <c r="B1" s="11" t="s">
        <v>33</v>
      </c>
      <c r="C1" s="11" t="s">
        <v>34</v>
      </c>
      <c r="D1" s="11" t="s">
        <v>35</v>
      </c>
      <c r="E1" s="11" t="s">
        <v>36</v>
      </c>
      <c r="F1" s="11" t="s">
        <v>37</v>
      </c>
      <c r="G1" s="11" t="s">
        <v>38</v>
      </c>
      <c r="H1" s="11" t="s">
        <v>39</v>
      </c>
      <c r="I1" s="11" t="s">
        <v>40</v>
      </c>
    </row>
    <row r="2" customFormat="false" ht="15" hidden="false" customHeight="true" outlineLevel="0" collapsed="false">
      <c r="A2" s="8" t="s">
        <v>1017</v>
      </c>
      <c r="B2" s="8" t="s">
        <v>44</v>
      </c>
      <c r="C2" s="8" t="s">
        <v>45</v>
      </c>
      <c r="D2" s="8" t="s">
        <v>30</v>
      </c>
      <c r="E2" s="8" t="s">
        <v>1018</v>
      </c>
      <c r="F2" s="8" t="s">
        <v>1019</v>
      </c>
      <c r="G2" s="8" t="s">
        <v>1020</v>
      </c>
      <c r="H2" s="8" t="s">
        <v>1021</v>
      </c>
      <c r="I2" s="8" t="s">
        <v>50</v>
      </c>
    </row>
    <row r="4" customFormat="false" ht="15" hidden="false" customHeight="true" outlineLevel="0" collapsed="false">
      <c r="A4" s="35" t="s">
        <v>1022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38"/>
    <col collapsed="false" customWidth="true" hidden="false" outlineLevel="0" max="6" min="6" style="0" width="60"/>
    <col collapsed="false" customWidth="true" hidden="false" outlineLevel="0" max="7" min="7" style="0" width="38"/>
    <col collapsed="false" customWidth="true" hidden="false" outlineLevel="0" max="8" min="8" style="0" width="55"/>
    <col collapsed="false" customWidth="true" hidden="false" outlineLevel="0" max="9" min="9" style="0" width="18"/>
  </cols>
  <sheetData>
    <row r="1" customFormat="false" ht="17.35" hidden="false" customHeight="false" outlineLevel="0" collapsed="false">
      <c r="A1" s="36" t="s">
        <v>1023</v>
      </c>
      <c r="B1" s="36"/>
      <c r="C1" s="36"/>
      <c r="D1" s="36"/>
      <c r="E1" s="36"/>
      <c r="F1" s="36"/>
      <c r="G1" s="36"/>
      <c r="H1" s="36"/>
      <c r="I1" s="36"/>
    </row>
    <row r="2" customFormat="false" ht="15" hidden="false" customHeight="false" outlineLevel="0" collapsed="false">
      <c r="A2" s="37" t="s">
        <v>1024</v>
      </c>
      <c r="B2" s="37"/>
      <c r="C2" s="37"/>
      <c r="D2" s="37"/>
      <c r="E2" s="37"/>
      <c r="F2" s="37"/>
      <c r="G2" s="37"/>
      <c r="H2" s="37"/>
      <c r="I2" s="37"/>
    </row>
    <row r="4" customFormat="false" ht="15" hidden="false" customHeight="false" outlineLevel="0" collapsed="false">
      <c r="A4" s="38" t="s">
        <v>32</v>
      </c>
      <c r="B4" s="38" t="s">
        <v>33</v>
      </c>
      <c r="C4" s="38" t="s">
        <v>34</v>
      </c>
      <c r="D4" s="38" t="s">
        <v>35</v>
      </c>
      <c r="E4" s="38" t="s">
        <v>36</v>
      </c>
      <c r="F4" s="38" t="s">
        <v>37</v>
      </c>
      <c r="G4" s="38" t="s">
        <v>38</v>
      </c>
      <c r="H4" s="38" t="s">
        <v>39</v>
      </c>
      <c r="I4" s="38" t="s">
        <v>40</v>
      </c>
    </row>
    <row r="5" customFormat="false" ht="35.05" hidden="false" customHeight="false" outlineLevel="0" collapsed="false">
      <c r="A5" s="12" t="s">
        <v>1025</v>
      </c>
      <c r="B5" s="12" t="s">
        <v>44</v>
      </c>
      <c r="C5" s="12" t="s">
        <v>45</v>
      </c>
      <c r="D5" s="12" t="s">
        <v>25</v>
      </c>
      <c r="E5" s="12" t="s">
        <v>1026</v>
      </c>
      <c r="F5" s="12" t="s">
        <v>1027</v>
      </c>
      <c r="G5" s="12" t="s">
        <v>1028</v>
      </c>
      <c r="H5" s="12" t="s">
        <v>1029</v>
      </c>
      <c r="I5" s="12" t="s">
        <v>1030</v>
      </c>
    </row>
    <row r="6" customFormat="false" ht="46.25" hidden="false" customHeight="false" outlineLevel="0" collapsed="false">
      <c r="A6" s="12" t="s">
        <v>1031</v>
      </c>
      <c r="B6" s="12" t="s">
        <v>90</v>
      </c>
      <c r="C6" s="12" t="s">
        <v>91</v>
      </c>
      <c r="D6" s="12" t="s">
        <v>26</v>
      </c>
      <c r="E6" s="12" t="s">
        <v>1032</v>
      </c>
      <c r="F6" s="12" t="s">
        <v>1033</v>
      </c>
      <c r="G6" s="12" t="s">
        <v>1034</v>
      </c>
      <c r="H6" s="12" t="s">
        <v>1035</v>
      </c>
      <c r="I6" s="12" t="s">
        <v>78</v>
      </c>
    </row>
    <row r="7" customFormat="false" ht="35.05" hidden="false" customHeight="false" outlineLevel="0" collapsed="false">
      <c r="A7" s="12" t="s">
        <v>1036</v>
      </c>
      <c r="B7" s="12" t="s">
        <v>294</v>
      </c>
      <c r="C7" s="12" t="s">
        <v>295</v>
      </c>
      <c r="D7" s="12" t="s">
        <v>25</v>
      </c>
      <c r="E7" s="12" t="s">
        <v>1037</v>
      </c>
      <c r="F7" s="12" t="s">
        <v>1038</v>
      </c>
      <c r="G7" s="12" t="s">
        <v>1039</v>
      </c>
      <c r="H7" s="12" t="s">
        <v>1040</v>
      </c>
      <c r="I7" s="12" t="s">
        <v>1041</v>
      </c>
    </row>
    <row r="8" customFormat="false" ht="23.85" hidden="false" customHeight="false" outlineLevel="0" collapsed="false">
      <c r="A8" s="12" t="s">
        <v>1042</v>
      </c>
      <c r="B8" s="12" t="s">
        <v>1043</v>
      </c>
      <c r="C8" s="12" t="s">
        <v>91</v>
      </c>
      <c r="D8" s="12" t="s">
        <v>25</v>
      </c>
      <c r="E8" s="12" t="s">
        <v>1044</v>
      </c>
      <c r="F8" s="12" t="s">
        <v>1045</v>
      </c>
      <c r="G8" s="12" t="s">
        <v>1046</v>
      </c>
      <c r="H8" s="12" t="s">
        <v>1047</v>
      </c>
      <c r="I8" s="12" t="s">
        <v>1030</v>
      </c>
    </row>
    <row r="10" customFormat="false" ht="15" hidden="false" customHeight="false" outlineLevel="0" collapsed="false">
      <c r="A10" s="33" t="s">
        <v>1048</v>
      </c>
      <c r="B10" s="33"/>
      <c r="C10" s="33"/>
      <c r="D10" s="33"/>
      <c r="E10" s="33"/>
      <c r="F10" s="33"/>
      <c r="G10" s="33"/>
      <c r="H10" s="33"/>
      <c r="I10" s="33"/>
    </row>
  </sheetData>
  <mergeCells count="3">
    <mergeCell ref="A1:I1"/>
    <mergeCell ref="A2:I2"/>
    <mergeCell ref="A10:I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9.5" hidden="false" customHeight="true" outlineLevel="0" collapsed="false">
      <c r="A1" s="5" t="s">
        <v>8</v>
      </c>
      <c r="B1" s="5"/>
      <c r="C1" s="5"/>
      <c r="D1" s="5"/>
      <c r="E1" s="5"/>
      <c r="F1" s="5"/>
    </row>
    <row r="2" customFormat="false" ht="15" hidden="false" customHeight="true" outlineLevel="0" collapsed="false">
      <c r="A2" s="6" t="s">
        <v>9</v>
      </c>
      <c r="B2" s="6"/>
      <c r="C2" s="6"/>
      <c r="D2" s="6"/>
      <c r="E2" s="6"/>
      <c r="F2" s="6"/>
    </row>
    <row r="3" customFormat="false" ht="15" hidden="false" customHeight="true" outlineLevel="0" collapsed="false">
      <c r="A3" s="7" t="s">
        <v>10</v>
      </c>
    </row>
    <row r="4" customFormat="false" ht="15" hidden="false" customHeight="true" outlineLevel="0" collapsed="false">
      <c r="A4" s="8" t="s">
        <v>11</v>
      </c>
    </row>
    <row r="5" customFormat="false" ht="15" hidden="false" customHeight="true" outlineLevel="0" collapsed="false">
      <c r="A5" s="8" t="s">
        <v>12</v>
      </c>
    </row>
    <row r="6" customFormat="false" ht="15" hidden="false" customHeight="true" outlineLevel="0" collapsed="false">
      <c r="A6" s="8" t="s">
        <v>13</v>
      </c>
    </row>
    <row r="8" customFormat="false" ht="15" hidden="false" customHeight="true" outlineLevel="0" collapsed="false">
      <c r="A8" s="7" t="s">
        <v>14</v>
      </c>
    </row>
    <row r="9" customFormat="false" ht="15" hidden="false" customHeight="true" outlineLevel="0" collapsed="false">
      <c r="A9" s="8" t="s">
        <v>15</v>
      </c>
    </row>
    <row r="10" customFormat="false" ht="15" hidden="false" customHeight="true" outlineLevel="0" collapsed="false">
      <c r="A10" s="8" t="s">
        <v>16</v>
      </c>
    </row>
    <row r="12" customFormat="false" ht="15" hidden="false" customHeight="true" outlineLevel="0" collapsed="false">
      <c r="A12" s="7" t="s">
        <v>17</v>
      </c>
      <c r="B12" s="8" t="n">
        <f aca="false">COUNTA(Incidents!A2:A1000)</f>
        <v>144</v>
      </c>
    </row>
    <row r="14" customFormat="false" ht="15" hidden="false" customHeight="true" outlineLevel="0" collapsed="false">
      <c r="A14" s="7" t="s">
        <v>18</v>
      </c>
      <c r="D14" s="7" t="s">
        <v>19</v>
      </c>
    </row>
    <row r="15" customFormat="false" ht="15" hidden="false" customHeight="true" outlineLevel="0" collapsed="false">
      <c r="A15" s="8" t="s">
        <v>20</v>
      </c>
      <c r="B15" s="8" t="s">
        <v>21</v>
      </c>
      <c r="D15" s="8" t="s">
        <v>22</v>
      </c>
      <c r="E15" s="8" t="s">
        <v>21</v>
      </c>
    </row>
    <row r="16" customFormat="false" ht="15" hidden="false" customHeight="true" outlineLevel="0" collapsed="false">
      <c r="A16" s="9" t="n">
        <v>2016</v>
      </c>
      <c r="B16" s="8" t="n">
        <f aca="false">COUNTIF(Incidents!A:A,"2016-*")</f>
        <v>8</v>
      </c>
      <c r="D16" s="8" t="s">
        <v>23</v>
      </c>
      <c r="E16" s="8" t="n">
        <f aca="false">COUNTIF(Incidents!D:D,"runway_excursion")</f>
        <v>27</v>
      </c>
    </row>
    <row r="17" customFormat="false" ht="15" hidden="false" customHeight="true" outlineLevel="0" collapsed="false">
      <c r="A17" s="9" t="n">
        <v>2017</v>
      </c>
      <c r="B17" s="8" t="n">
        <f aca="false">COUNTIF(Incidents!A:A,"2017-*")</f>
        <v>14</v>
      </c>
      <c r="D17" s="8" t="s">
        <v>24</v>
      </c>
      <c r="E17" s="8" t="n">
        <f aca="false">COUNTIF(Incidents!D:D,"runway_incursion")</f>
        <v>17</v>
      </c>
    </row>
    <row r="18" customFormat="false" ht="15" hidden="false" customHeight="true" outlineLevel="0" collapsed="false">
      <c r="A18" s="9" t="n">
        <v>2018</v>
      </c>
      <c r="B18" s="8" t="n">
        <f aca="false">COUNTIF(Incidents!A:A,"2018-*")</f>
        <v>7</v>
      </c>
      <c r="D18" s="8" t="s">
        <v>25</v>
      </c>
      <c r="E18" s="8" t="n">
        <f aca="false">COUNTIF(Incidents!D:D,"ground_collision")</f>
        <v>14</v>
      </c>
    </row>
    <row r="19" customFormat="false" ht="15" hidden="false" customHeight="true" outlineLevel="0" collapsed="false">
      <c r="A19" s="9" t="n">
        <v>2019</v>
      </c>
      <c r="B19" s="8" t="n">
        <f aca="false">COUNTIF(Incidents!A:A,"2019-*")</f>
        <v>16</v>
      </c>
      <c r="D19" s="8" t="s">
        <v>26</v>
      </c>
      <c r="E19" s="8" t="n">
        <f aca="false">COUNTIF(Incidents!D:D,"tarmac_fire")</f>
        <v>8</v>
      </c>
    </row>
    <row r="20" customFormat="false" ht="15" hidden="false" customHeight="true" outlineLevel="0" collapsed="false">
      <c r="A20" s="9" t="n">
        <v>2020</v>
      </c>
      <c r="B20" s="8" t="n">
        <f aca="false">COUNTIF(Incidents!A:A,"2020-*")</f>
        <v>9</v>
      </c>
      <c r="D20" s="8" t="s">
        <v>27</v>
      </c>
      <c r="E20" s="8" t="n">
        <f aca="false">COUNTIF(Incidents!D:D,"fuel_spill")</f>
        <v>0</v>
      </c>
    </row>
    <row r="21" customFormat="false" ht="15" hidden="false" customHeight="true" outlineLevel="0" collapsed="false">
      <c r="A21" s="9" t="n">
        <v>2021</v>
      </c>
      <c r="B21" s="8" t="n">
        <f aca="false">COUNTIF(Incidents!A:A,"2021-*")</f>
        <v>9</v>
      </c>
      <c r="D21" s="8" t="s">
        <v>28</v>
      </c>
      <c r="E21" s="8" t="n">
        <f aca="false">COUNTIF(Incidents!D:D,"bird_strike_ground")</f>
        <v>25</v>
      </c>
    </row>
    <row r="22" customFormat="false" ht="15" hidden="false" customHeight="true" outlineLevel="0" collapsed="false">
      <c r="A22" s="9" t="n">
        <v>2022</v>
      </c>
      <c r="B22" s="8" t="n">
        <f aca="false">COUNTIF(Incidents!A:A,"2022-*")</f>
        <v>15</v>
      </c>
      <c r="D22" s="8" t="s">
        <v>29</v>
      </c>
      <c r="E22" s="8" t="n">
        <f aca="false">COUNTIF(Incidents!D:D,"security_breach")</f>
        <v>5</v>
      </c>
    </row>
    <row r="23" customFormat="false" ht="15" hidden="false" customHeight="true" outlineLevel="0" collapsed="false">
      <c r="A23" s="9" t="n">
        <v>2023</v>
      </c>
      <c r="B23" s="8" t="n">
        <f aca="false">COUNTIF(Incidents!A:A,"2023-*")</f>
        <v>20</v>
      </c>
      <c r="D23" s="8" t="s">
        <v>30</v>
      </c>
      <c r="E23" s="8" t="n">
        <f aca="false">COUNTIF(Incidents!D:D,"apron_incident")</f>
        <v>35</v>
      </c>
    </row>
    <row r="24" customFormat="false" ht="15" hidden="false" customHeight="true" outlineLevel="0" collapsed="false">
      <c r="A24" s="9" t="n">
        <v>2024</v>
      </c>
      <c r="B24" s="8" t="n">
        <f aca="false">COUNTIF(Incidents!A:A,"2024-*")</f>
        <v>24</v>
      </c>
      <c r="D24" s="8" t="s">
        <v>31</v>
      </c>
      <c r="E24" s="8" t="n">
        <f aca="false">COUNTIF(Incidents!D:D,"other")</f>
        <v>13</v>
      </c>
    </row>
    <row r="25" customFormat="false" ht="15" hidden="false" customHeight="true" outlineLevel="0" collapsed="false">
      <c r="A25" s="9" t="n">
        <v>2025</v>
      </c>
      <c r="B25" s="8" t="n">
        <f aca="false">COUNTIF(Incidents!A:A,"2025-*")</f>
        <v>22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8" width="12"/>
    <col collapsed="false" customWidth="true" hidden="false" outlineLevel="0" max="2" min="2" style="8" width="32"/>
    <col collapsed="false" customWidth="true" hidden="false" outlineLevel="0" max="3" min="3" style="8" width="18"/>
    <col collapsed="false" customWidth="true" hidden="false" outlineLevel="0" max="4" min="4" style="8" width="20"/>
    <col collapsed="false" customWidth="true" hidden="false" outlineLevel="0" max="5" min="5" style="8" width="38"/>
    <col collapsed="false" customWidth="true" hidden="false" outlineLevel="0" max="6" min="6" style="8" width="70"/>
    <col collapsed="false" customWidth="true" hidden="false" outlineLevel="0" max="7" min="7" style="8" width="38"/>
    <col collapsed="false" customWidth="true" hidden="false" outlineLevel="0" max="8" min="8" style="8" width="55"/>
    <col collapsed="false" customWidth="true" hidden="false" outlineLevel="0" max="9" min="9" style="8" width="20"/>
    <col collapsed="false" customWidth="true" hidden="false" outlineLevel="0" max="10" min="10" style="8" width="8"/>
    <col collapsed="false" customWidth="true" hidden="false" outlineLevel="0" max="11" min="11" style="8" width="22"/>
  </cols>
  <sheetData>
    <row r="1" customFormat="false" ht="15" hidden="false" customHeight="true" outlineLevel="0" collapsed="false">
      <c r="A1" s="10" t="s">
        <v>32</v>
      </c>
      <c r="B1" s="10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10" t="s">
        <v>38</v>
      </c>
      <c r="H1" s="10" t="s">
        <v>39</v>
      </c>
      <c r="I1" s="10" t="s">
        <v>40</v>
      </c>
      <c r="J1" s="11" t="s">
        <v>41</v>
      </c>
      <c r="K1" s="11" t="s">
        <v>42</v>
      </c>
    </row>
    <row r="2" customFormat="false" ht="23.25" hidden="false" customHeight="true" outlineLevel="0" collapsed="false">
      <c r="A2" s="12" t="s">
        <v>43</v>
      </c>
      <c r="B2" s="12" t="s">
        <v>44</v>
      </c>
      <c r="C2" s="12" t="s">
        <v>45</v>
      </c>
      <c r="D2" s="12" t="s">
        <v>25</v>
      </c>
      <c r="E2" s="12" t="s">
        <v>46</v>
      </c>
      <c r="F2" s="12" t="s">
        <v>47</v>
      </c>
      <c r="G2" s="12" t="s">
        <v>48</v>
      </c>
      <c r="H2" s="12" t="s">
        <v>49</v>
      </c>
      <c r="I2" s="12" t="s">
        <v>50</v>
      </c>
      <c r="J2" s="8" t="s">
        <v>51</v>
      </c>
      <c r="K2" s="8" t="s">
        <v>52</v>
      </c>
    </row>
    <row r="3" customFormat="false" ht="15" hidden="false" customHeight="true" outlineLevel="0" collapsed="false">
      <c r="A3" s="12" t="s">
        <v>53</v>
      </c>
      <c r="B3" s="12" t="s">
        <v>44</v>
      </c>
      <c r="C3" s="12" t="s">
        <v>45</v>
      </c>
      <c r="D3" s="12" t="s">
        <v>25</v>
      </c>
      <c r="E3" s="12" t="s">
        <v>54</v>
      </c>
      <c r="F3" s="12" t="s">
        <v>55</v>
      </c>
      <c r="G3" s="12" t="s">
        <v>56</v>
      </c>
      <c r="H3" s="12" t="s">
        <v>57</v>
      </c>
      <c r="I3" s="12" t="s">
        <v>58</v>
      </c>
      <c r="J3" s="8" t="s">
        <v>51</v>
      </c>
      <c r="K3" s="8" t="s">
        <v>59</v>
      </c>
    </row>
    <row r="4" customFormat="false" ht="23.25" hidden="false" customHeight="true" outlineLevel="0" collapsed="false">
      <c r="A4" s="12" t="s">
        <v>60</v>
      </c>
      <c r="B4" s="12" t="s">
        <v>44</v>
      </c>
      <c r="C4" s="12" t="s">
        <v>45</v>
      </c>
      <c r="D4" s="12" t="s">
        <v>23</v>
      </c>
      <c r="E4" s="12" t="s">
        <v>61</v>
      </c>
      <c r="F4" s="12" t="s">
        <v>62</v>
      </c>
      <c r="G4" s="12" t="s">
        <v>63</v>
      </c>
      <c r="H4" s="12" t="s">
        <v>64</v>
      </c>
      <c r="I4" s="12" t="s">
        <v>50</v>
      </c>
      <c r="J4" s="8" t="s">
        <v>51</v>
      </c>
      <c r="K4" s="8" t="s">
        <v>52</v>
      </c>
    </row>
    <row r="5" customFormat="false" ht="23.25" hidden="false" customHeight="true" outlineLevel="0" collapsed="false">
      <c r="A5" s="12" t="s">
        <v>65</v>
      </c>
      <c r="B5" s="12" t="s">
        <v>66</v>
      </c>
      <c r="C5" s="12" t="s">
        <v>67</v>
      </c>
      <c r="D5" s="12" t="s">
        <v>23</v>
      </c>
      <c r="E5" s="12" t="s">
        <v>68</v>
      </c>
      <c r="F5" s="12" t="s">
        <v>69</v>
      </c>
      <c r="G5" s="12" t="s">
        <v>70</v>
      </c>
      <c r="H5" s="12" t="s">
        <v>71</v>
      </c>
      <c r="I5" s="12" t="s">
        <v>58</v>
      </c>
      <c r="J5" s="8" t="s">
        <v>72</v>
      </c>
      <c r="K5" s="8" t="s">
        <v>59</v>
      </c>
    </row>
    <row r="6" customFormat="false" ht="23.25" hidden="false" customHeight="true" outlineLevel="0" collapsed="false">
      <c r="A6" s="12" t="s">
        <v>73</v>
      </c>
      <c r="B6" s="12" t="s">
        <v>44</v>
      </c>
      <c r="C6" s="12" t="s">
        <v>45</v>
      </c>
      <c r="D6" s="12" t="s">
        <v>25</v>
      </c>
      <c r="E6" s="12" t="s">
        <v>74</v>
      </c>
      <c r="F6" s="12" t="s">
        <v>75</v>
      </c>
      <c r="G6" s="12" t="s">
        <v>76</v>
      </c>
      <c r="H6" s="12" t="s">
        <v>77</v>
      </c>
      <c r="I6" s="12" t="s">
        <v>78</v>
      </c>
      <c r="J6" s="8" t="s">
        <v>51</v>
      </c>
      <c r="K6" s="8" t="s">
        <v>52</v>
      </c>
    </row>
    <row r="7" customFormat="false" ht="15" hidden="false" customHeight="true" outlineLevel="0" collapsed="false">
      <c r="A7" s="12" t="s">
        <v>79</v>
      </c>
      <c r="B7" s="12" t="s">
        <v>80</v>
      </c>
      <c r="C7" s="12" t="s">
        <v>81</v>
      </c>
      <c r="D7" s="12" t="s">
        <v>23</v>
      </c>
      <c r="E7" s="12" t="s">
        <v>82</v>
      </c>
      <c r="F7" s="12" t="s">
        <v>83</v>
      </c>
      <c r="G7" s="12" t="s">
        <v>84</v>
      </c>
      <c r="H7" s="12" t="s">
        <v>85</v>
      </c>
      <c r="I7" s="12" t="s">
        <v>86</v>
      </c>
      <c r="J7" s="8" t="s">
        <v>87</v>
      </c>
      <c r="K7" s="8" t="s">
        <v>88</v>
      </c>
    </row>
    <row r="8" customFormat="false" ht="15" hidden="false" customHeight="true" outlineLevel="0" collapsed="false">
      <c r="A8" s="12" t="s">
        <v>89</v>
      </c>
      <c r="B8" s="12" t="s">
        <v>90</v>
      </c>
      <c r="C8" s="12" t="s">
        <v>91</v>
      </c>
      <c r="D8" s="12" t="s">
        <v>24</v>
      </c>
      <c r="E8" s="12" t="s">
        <v>92</v>
      </c>
      <c r="F8" s="12" t="s">
        <v>93</v>
      </c>
      <c r="G8" s="12" t="s">
        <v>94</v>
      </c>
      <c r="H8" s="12" t="s">
        <v>95</v>
      </c>
      <c r="I8" s="12" t="s">
        <v>58</v>
      </c>
      <c r="J8" s="8" t="s">
        <v>96</v>
      </c>
      <c r="K8" s="8" t="s">
        <v>88</v>
      </c>
    </row>
    <row r="9" customFormat="false" ht="23.25" hidden="false" customHeight="true" outlineLevel="0" collapsed="false">
      <c r="A9" s="12" t="s">
        <v>89</v>
      </c>
      <c r="B9" s="12" t="s">
        <v>97</v>
      </c>
      <c r="C9" s="12" t="s">
        <v>98</v>
      </c>
      <c r="D9" s="12" t="s">
        <v>23</v>
      </c>
      <c r="E9" s="12" t="s">
        <v>99</v>
      </c>
      <c r="F9" s="12" t="s">
        <v>100</v>
      </c>
      <c r="G9" s="12" t="s">
        <v>101</v>
      </c>
      <c r="H9" s="12" t="s">
        <v>102</v>
      </c>
      <c r="I9" s="12" t="s">
        <v>103</v>
      </c>
      <c r="J9" s="8" t="s">
        <v>104</v>
      </c>
      <c r="K9" s="8" t="s">
        <v>59</v>
      </c>
    </row>
    <row r="10" customFormat="false" ht="15" hidden="false" customHeight="true" outlineLevel="0" collapsed="false">
      <c r="A10" s="12" t="s">
        <v>105</v>
      </c>
      <c r="B10" s="12" t="s">
        <v>106</v>
      </c>
      <c r="C10" s="12" t="s">
        <v>107</v>
      </c>
      <c r="D10" s="12" t="s">
        <v>23</v>
      </c>
      <c r="E10" s="12" t="s">
        <v>108</v>
      </c>
      <c r="F10" s="12" t="s">
        <v>109</v>
      </c>
      <c r="G10" s="12" t="s">
        <v>110</v>
      </c>
      <c r="H10" s="12" t="s">
        <v>111</v>
      </c>
      <c r="I10" s="12" t="s">
        <v>112</v>
      </c>
      <c r="J10" s="8" t="s">
        <v>113</v>
      </c>
      <c r="K10" s="8" t="s">
        <v>52</v>
      </c>
    </row>
    <row r="11" customFormat="false" ht="15" hidden="false" customHeight="true" outlineLevel="0" collapsed="false">
      <c r="A11" s="12" t="s">
        <v>114</v>
      </c>
      <c r="B11" s="12" t="s">
        <v>115</v>
      </c>
      <c r="C11" s="12" t="s">
        <v>116</v>
      </c>
      <c r="D11" s="12" t="s">
        <v>28</v>
      </c>
      <c r="E11" s="12" t="s">
        <v>117</v>
      </c>
      <c r="F11" s="12" t="s">
        <v>118</v>
      </c>
      <c r="G11" s="12" t="s">
        <v>119</v>
      </c>
      <c r="H11" s="12" t="s">
        <v>120</v>
      </c>
      <c r="I11" s="12" t="s">
        <v>58</v>
      </c>
      <c r="J11" s="8" t="s">
        <v>121</v>
      </c>
      <c r="K11" s="8" t="s">
        <v>52</v>
      </c>
    </row>
    <row r="12" customFormat="false" ht="15" hidden="false" customHeight="true" outlineLevel="0" collapsed="false">
      <c r="A12" s="12" t="s">
        <v>122</v>
      </c>
      <c r="B12" s="12" t="s">
        <v>123</v>
      </c>
      <c r="C12" s="12" t="s">
        <v>124</v>
      </c>
      <c r="D12" s="12" t="s">
        <v>28</v>
      </c>
      <c r="E12" s="12" t="s">
        <v>125</v>
      </c>
      <c r="F12" s="12" t="s">
        <v>126</v>
      </c>
      <c r="G12" s="12" t="s">
        <v>119</v>
      </c>
      <c r="H12" s="12" t="s">
        <v>127</v>
      </c>
      <c r="I12" s="12" t="s">
        <v>86</v>
      </c>
      <c r="J12" s="8" t="s">
        <v>128</v>
      </c>
      <c r="K12" s="8" t="s">
        <v>129</v>
      </c>
    </row>
    <row r="13" customFormat="false" ht="15" hidden="false" customHeight="true" outlineLevel="0" collapsed="false">
      <c r="A13" s="12" t="s">
        <v>130</v>
      </c>
      <c r="B13" s="12" t="s">
        <v>131</v>
      </c>
      <c r="C13" s="12" t="s">
        <v>132</v>
      </c>
      <c r="D13" s="12" t="s">
        <v>23</v>
      </c>
      <c r="E13" s="12" t="s">
        <v>133</v>
      </c>
      <c r="F13" s="12" t="s">
        <v>134</v>
      </c>
      <c r="G13" s="12" t="s">
        <v>135</v>
      </c>
      <c r="H13" s="12" t="s">
        <v>136</v>
      </c>
      <c r="I13" s="12" t="s">
        <v>58</v>
      </c>
      <c r="J13" s="8" t="s">
        <v>137</v>
      </c>
      <c r="K13" s="8" t="s">
        <v>52</v>
      </c>
    </row>
    <row r="14" customFormat="false" ht="34.5" hidden="false" customHeight="true" outlineLevel="0" collapsed="false">
      <c r="A14" s="12" t="s">
        <v>138</v>
      </c>
      <c r="B14" s="12" t="s">
        <v>139</v>
      </c>
      <c r="C14" s="12" t="s">
        <v>140</v>
      </c>
      <c r="D14" s="12" t="s">
        <v>30</v>
      </c>
      <c r="E14" s="12" t="s">
        <v>141</v>
      </c>
      <c r="F14" s="12" t="s">
        <v>142</v>
      </c>
      <c r="G14" s="12" t="s">
        <v>143</v>
      </c>
      <c r="H14" s="12" t="s">
        <v>144</v>
      </c>
      <c r="I14" s="12" t="s">
        <v>78</v>
      </c>
      <c r="J14" s="8" t="s">
        <v>145</v>
      </c>
      <c r="K14" s="8" t="s">
        <v>146</v>
      </c>
    </row>
    <row r="15" customFormat="false" ht="15" hidden="false" customHeight="true" outlineLevel="0" collapsed="false">
      <c r="A15" s="12" t="s">
        <v>147</v>
      </c>
      <c r="B15" s="12" t="s">
        <v>90</v>
      </c>
      <c r="C15" s="12" t="s">
        <v>91</v>
      </c>
      <c r="D15" s="12" t="s">
        <v>28</v>
      </c>
      <c r="E15" s="12" t="s">
        <v>148</v>
      </c>
      <c r="F15" s="12" t="s">
        <v>149</v>
      </c>
      <c r="G15" s="12" t="s">
        <v>150</v>
      </c>
      <c r="H15" s="12" t="s">
        <v>151</v>
      </c>
      <c r="I15" s="12" t="s">
        <v>103</v>
      </c>
      <c r="J15" s="8" t="s">
        <v>96</v>
      </c>
      <c r="K15" s="8" t="s">
        <v>152</v>
      </c>
    </row>
    <row r="16" customFormat="false" ht="15" hidden="false" customHeight="true" outlineLevel="0" collapsed="false">
      <c r="A16" s="12" t="s">
        <v>153</v>
      </c>
      <c r="B16" s="12" t="s">
        <v>154</v>
      </c>
      <c r="C16" s="12" t="s">
        <v>155</v>
      </c>
      <c r="D16" s="12" t="s">
        <v>23</v>
      </c>
      <c r="E16" s="12" t="s">
        <v>156</v>
      </c>
      <c r="F16" s="12" t="s">
        <v>157</v>
      </c>
      <c r="G16" s="12" t="s">
        <v>158</v>
      </c>
      <c r="H16" s="12" t="s">
        <v>159</v>
      </c>
      <c r="I16" s="12" t="s">
        <v>58</v>
      </c>
      <c r="J16" s="8" t="s">
        <v>160</v>
      </c>
      <c r="K16" s="8" t="s">
        <v>161</v>
      </c>
    </row>
    <row r="17" customFormat="false" ht="15" hidden="false" customHeight="true" outlineLevel="0" collapsed="false">
      <c r="A17" s="12" t="s">
        <v>162</v>
      </c>
      <c r="B17" s="12" t="s">
        <v>44</v>
      </c>
      <c r="C17" s="12" t="s">
        <v>45</v>
      </c>
      <c r="D17" s="12" t="s">
        <v>30</v>
      </c>
      <c r="E17" s="12" t="s">
        <v>163</v>
      </c>
      <c r="F17" s="12" t="s">
        <v>164</v>
      </c>
      <c r="G17" s="12" t="s">
        <v>165</v>
      </c>
      <c r="H17" s="12" t="s">
        <v>166</v>
      </c>
      <c r="I17" s="12" t="s">
        <v>86</v>
      </c>
      <c r="J17" s="8" t="s">
        <v>51</v>
      </c>
      <c r="K17" s="8" t="s">
        <v>167</v>
      </c>
    </row>
    <row r="18" customFormat="false" ht="15" hidden="false" customHeight="true" outlineLevel="0" collapsed="false">
      <c r="A18" s="12" t="s">
        <v>168</v>
      </c>
      <c r="B18" s="12" t="s">
        <v>90</v>
      </c>
      <c r="C18" s="12" t="s">
        <v>91</v>
      </c>
      <c r="D18" s="12" t="s">
        <v>30</v>
      </c>
      <c r="E18" s="12" t="s">
        <v>169</v>
      </c>
      <c r="F18" s="12" t="s">
        <v>164</v>
      </c>
      <c r="G18" s="12" t="s">
        <v>165</v>
      </c>
      <c r="H18" s="12" t="s">
        <v>170</v>
      </c>
      <c r="I18" s="12" t="s">
        <v>86</v>
      </c>
      <c r="J18" s="8" t="s">
        <v>96</v>
      </c>
      <c r="K18" s="8" t="s">
        <v>52</v>
      </c>
    </row>
    <row r="19" customFormat="false" ht="15" hidden="false" customHeight="true" outlineLevel="0" collapsed="false">
      <c r="A19" s="12" t="s">
        <v>171</v>
      </c>
      <c r="B19" s="12" t="s">
        <v>172</v>
      </c>
      <c r="C19" s="12" t="s">
        <v>173</v>
      </c>
      <c r="D19" s="12" t="s">
        <v>30</v>
      </c>
      <c r="E19" s="12" t="s">
        <v>174</v>
      </c>
      <c r="F19" s="12" t="s">
        <v>175</v>
      </c>
      <c r="G19" s="12" t="s">
        <v>176</v>
      </c>
      <c r="H19" s="12" t="s">
        <v>177</v>
      </c>
      <c r="I19" s="12" t="s">
        <v>78</v>
      </c>
      <c r="J19" s="8" t="s">
        <v>178</v>
      </c>
      <c r="K19" s="8" t="s">
        <v>161</v>
      </c>
    </row>
    <row r="20" customFormat="false" ht="15" hidden="false" customHeight="true" outlineLevel="0" collapsed="false">
      <c r="A20" s="12" t="s">
        <v>179</v>
      </c>
      <c r="B20" s="12" t="s">
        <v>123</v>
      </c>
      <c r="C20" s="12" t="s">
        <v>124</v>
      </c>
      <c r="D20" s="12" t="s">
        <v>28</v>
      </c>
      <c r="E20" s="12" t="s">
        <v>125</v>
      </c>
      <c r="F20" s="12" t="s">
        <v>180</v>
      </c>
      <c r="G20" s="12" t="s">
        <v>119</v>
      </c>
      <c r="H20" s="12" t="s">
        <v>181</v>
      </c>
      <c r="I20" s="12" t="s">
        <v>86</v>
      </c>
      <c r="J20" s="8" t="s">
        <v>128</v>
      </c>
      <c r="K20" s="8" t="s">
        <v>129</v>
      </c>
    </row>
    <row r="21" customFormat="false" ht="15" hidden="false" customHeight="true" outlineLevel="0" collapsed="false">
      <c r="A21" s="12" t="s">
        <v>182</v>
      </c>
      <c r="B21" s="12" t="s">
        <v>44</v>
      </c>
      <c r="C21" s="12" t="s">
        <v>45</v>
      </c>
      <c r="D21" s="12" t="s">
        <v>23</v>
      </c>
      <c r="E21" s="12" t="s">
        <v>183</v>
      </c>
      <c r="F21" s="12" t="s">
        <v>184</v>
      </c>
      <c r="G21" s="12" t="s">
        <v>119</v>
      </c>
      <c r="H21" s="12" t="s">
        <v>185</v>
      </c>
      <c r="I21" s="12" t="s">
        <v>86</v>
      </c>
      <c r="J21" s="8" t="s">
        <v>51</v>
      </c>
      <c r="K21" s="8" t="s">
        <v>88</v>
      </c>
    </row>
    <row r="22" customFormat="false" ht="15" hidden="false" customHeight="true" outlineLevel="0" collapsed="false">
      <c r="A22" s="12" t="s">
        <v>186</v>
      </c>
      <c r="B22" s="12" t="s">
        <v>187</v>
      </c>
      <c r="C22" s="12" t="s">
        <v>188</v>
      </c>
      <c r="D22" s="12" t="s">
        <v>28</v>
      </c>
      <c r="E22" s="12" t="s">
        <v>189</v>
      </c>
      <c r="F22" s="12" t="s">
        <v>190</v>
      </c>
      <c r="G22" s="12" t="s">
        <v>119</v>
      </c>
      <c r="H22" s="12" t="s">
        <v>191</v>
      </c>
      <c r="I22" s="12" t="s">
        <v>58</v>
      </c>
      <c r="J22" s="8" t="s">
        <v>192</v>
      </c>
      <c r="K22" s="8" t="s">
        <v>59</v>
      </c>
    </row>
    <row r="23" customFormat="false" ht="15" hidden="false" customHeight="true" outlineLevel="0" collapsed="false">
      <c r="A23" s="12" t="s">
        <v>193</v>
      </c>
      <c r="B23" s="12" t="s">
        <v>194</v>
      </c>
      <c r="C23" s="12" t="s">
        <v>195</v>
      </c>
      <c r="D23" s="12" t="s">
        <v>23</v>
      </c>
      <c r="E23" s="12" t="s">
        <v>169</v>
      </c>
      <c r="F23" s="12" t="s">
        <v>196</v>
      </c>
      <c r="G23" s="12" t="s">
        <v>119</v>
      </c>
      <c r="H23" s="12" t="s">
        <v>197</v>
      </c>
      <c r="I23" s="12" t="s">
        <v>86</v>
      </c>
      <c r="J23" s="8" t="s">
        <v>198</v>
      </c>
      <c r="K23" s="8" t="s">
        <v>52</v>
      </c>
    </row>
    <row r="24" customFormat="false" ht="15" hidden="false" customHeight="true" outlineLevel="0" collapsed="false">
      <c r="A24" s="12" t="s">
        <v>199</v>
      </c>
      <c r="B24" s="12" t="s">
        <v>139</v>
      </c>
      <c r="C24" s="12" t="s">
        <v>140</v>
      </c>
      <c r="D24" s="12" t="s">
        <v>30</v>
      </c>
      <c r="E24" s="12" t="s">
        <v>200</v>
      </c>
      <c r="F24" s="12" t="s">
        <v>201</v>
      </c>
      <c r="G24" s="12" t="s">
        <v>165</v>
      </c>
      <c r="H24" s="12" t="s">
        <v>202</v>
      </c>
      <c r="I24" s="12" t="s">
        <v>103</v>
      </c>
      <c r="J24" s="8" t="s">
        <v>145</v>
      </c>
      <c r="K24" s="8" t="s">
        <v>129</v>
      </c>
    </row>
    <row r="25" customFormat="false" ht="34.5" hidden="false" customHeight="true" outlineLevel="0" collapsed="false">
      <c r="A25" s="12" t="s">
        <v>203</v>
      </c>
      <c r="B25" s="12" t="s">
        <v>204</v>
      </c>
      <c r="C25" s="12" t="s">
        <v>205</v>
      </c>
      <c r="D25" s="12" t="s">
        <v>23</v>
      </c>
      <c r="E25" s="12" t="s">
        <v>206</v>
      </c>
      <c r="F25" s="12" t="s">
        <v>207</v>
      </c>
      <c r="G25" s="12" t="s">
        <v>208</v>
      </c>
      <c r="H25" s="12" t="s">
        <v>209</v>
      </c>
      <c r="I25" s="12" t="s">
        <v>50</v>
      </c>
      <c r="J25" s="8" t="s">
        <v>210</v>
      </c>
      <c r="K25" s="8" t="s">
        <v>211</v>
      </c>
    </row>
    <row r="26" customFormat="false" ht="23.25" hidden="false" customHeight="true" outlineLevel="0" collapsed="false">
      <c r="A26" s="12" t="s">
        <v>212</v>
      </c>
      <c r="B26" s="12" t="s">
        <v>44</v>
      </c>
      <c r="C26" s="12" t="s">
        <v>45</v>
      </c>
      <c r="D26" s="12" t="s">
        <v>23</v>
      </c>
      <c r="E26" s="12" t="s">
        <v>213</v>
      </c>
      <c r="F26" s="12" t="s">
        <v>214</v>
      </c>
      <c r="G26" s="12" t="s">
        <v>215</v>
      </c>
      <c r="H26" s="12" t="s">
        <v>216</v>
      </c>
      <c r="I26" s="12" t="s">
        <v>112</v>
      </c>
      <c r="J26" s="8" t="s">
        <v>51</v>
      </c>
      <c r="K26" s="8" t="s">
        <v>161</v>
      </c>
    </row>
    <row r="27" customFormat="false" ht="34.5" hidden="false" customHeight="true" outlineLevel="0" collapsed="false">
      <c r="A27" s="12" t="s">
        <v>217</v>
      </c>
      <c r="B27" s="12" t="s">
        <v>172</v>
      </c>
      <c r="C27" s="12" t="s">
        <v>173</v>
      </c>
      <c r="D27" s="12" t="s">
        <v>31</v>
      </c>
      <c r="E27" s="12" t="s">
        <v>218</v>
      </c>
      <c r="F27" s="12" t="s">
        <v>219</v>
      </c>
      <c r="G27" s="12" t="s">
        <v>220</v>
      </c>
      <c r="H27" s="12" t="s">
        <v>221</v>
      </c>
      <c r="I27" s="12" t="s">
        <v>78</v>
      </c>
      <c r="J27" s="8" t="s">
        <v>178</v>
      </c>
      <c r="K27" s="8" t="s">
        <v>222</v>
      </c>
    </row>
    <row r="28" customFormat="false" ht="15" hidden="false" customHeight="true" outlineLevel="0" collapsed="false">
      <c r="A28" s="12" t="s">
        <v>223</v>
      </c>
      <c r="B28" s="12" t="s">
        <v>44</v>
      </c>
      <c r="C28" s="12" t="s">
        <v>45</v>
      </c>
      <c r="D28" s="12" t="s">
        <v>30</v>
      </c>
      <c r="E28" s="12" t="s">
        <v>125</v>
      </c>
      <c r="F28" s="12" t="s">
        <v>224</v>
      </c>
      <c r="G28" s="12" t="s">
        <v>165</v>
      </c>
      <c r="H28" s="12" t="s">
        <v>225</v>
      </c>
      <c r="I28" s="12" t="s">
        <v>86</v>
      </c>
      <c r="J28" s="8" t="s">
        <v>51</v>
      </c>
      <c r="K28" s="8" t="s">
        <v>129</v>
      </c>
    </row>
    <row r="29" customFormat="false" ht="23.25" hidden="false" customHeight="true" outlineLevel="0" collapsed="false">
      <c r="A29" s="12" t="s">
        <v>226</v>
      </c>
      <c r="B29" s="12" t="s">
        <v>227</v>
      </c>
      <c r="C29" s="12" t="s">
        <v>228</v>
      </c>
      <c r="D29" s="12" t="s">
        <v>23</v>
      </c>
      <c r="E29" s="12" t="s">
        <v>229</v>
      </c>
      <c r="F29" s="12" t="s">
        <v>230</v>
      </c>
      <c r="G29" s="12" t="s">
        <v>231</v>
      </c>
      <c r="H29" s="12" t="s">
        <v>232</v>
      </c>
      <c r="I29" s="12" t="s">
        <v>50</v>
      </c>
      <c r="J29" s="8" t="s">
        <v>233</v>
      </c>
      <c r="K29" s="8" t="s">
        <v>161</v>
      </c>
    </row>
    <row r="30" customFormat="false" ht="34.5" hidden="false" customHeight="true" outlineLevel="0" collapsed="false">
      <c r="A30" s="12" t="s">
        <v>234</v>
      </c>
      <c r="B30" s="12" t="s">
        <v>44</v>
      </c>
      <c r="C30" s="12" t="s">
        <v>45</v>
      </c>
      <c r="D30" s="12" t="s">
        <v>30</v>
      </c>
      <c r="E30" s="12" t="s">
        <v>235</v>
      </c>
      <c r="F30" s="12" t="s">
        <v>236</v>
      </c>
      <c r="G30" s="12" t="s">
        <v>237</v>
      </c>
      <c r="H30" s="12" t="s">
        <v>238</v>
      </c>
      <c r="I30" s="12" t="s">
        <v>78</v>
      </c>
      <c r="J30" s="8" t="s">
        <v>51</v>
      </c>
      <c r="K30" s="8" t="s">
        <v>52</v>
      </c>
    </row>
    <row r="31" customFormat="false" ht="15" hidden="false" customHeight="true" outlineLevel="0" collapsed="false">
      <c r="A31" s="12" t="s">
        <v>239</v>
      </c>
      <c r="B31" s="12" t="s">
        <v>240</v>
      </c>
      <c r="C31" s="12" t="s">
        <v>241</v>
      </c>
      <c r="D31" s="12" t="s">
        <v>30</v>
      </c>
      <c r="E31" s="12" t="s">
        <v>242</v>
      </c>
      <c r="F31" s="12" t="s">
        <v>243</v>
      </c>
      <c r="G31" s="12" t="s">
        <v>244</v>
      </c>
      <c r="H31" s="12" t="s">
        <v>245</v>
      </c>
      <c r="I31" s="12" t="s">
        <v>58</v>
      </c>
      <c r="J31" s="8" t="s">
        <v>246</v>
      </c>
      <c r="K31" s="8" t="s">
        <v>211</v>
      </c>
    </row>
    <row r="32" customFormat="false" ht="15" hidden="false" customHeight="true" outlineLevel="0" collapsed="false">
      <c r="A32" s="12" t="s">
        <v>247</v>
      </c>
      <c r="B32" s="12" t="s">
        <v>204</v>
      </c>
      <c r="C32" s="12" t="s">
        <v>205</v>
      </c>
      <c r="D32" s="12" t="s">
        <v>23</v>
      </c>
      <c r="E32" s="12" t="s">
        <v>248</v>
      </c>
      <c r="F32" s="12" t="s">
        <v>249</v>
      </c>
      <c r="G32" s="12" t="s">
        <v>250</v>
      </c>
      <c r="H32" s="12" t="s">
        <v>251</v>
      </c>
      <c r="I32" s="12" t="s">
        <v>86</v>
      </c>
      <c r="J32" s="8" t="s">
        <v>210</v>
      </c>
      <c r="K32" s="8" t="s">
        <v>88</v>
      </c>
    </row>
    <row r="33" customFormat="false" ht="34.5" hidden="false" customHeight="true" outlineLevel="0" collapsed="false">
      <c r="A33" s="12" t="s">
        <v>252</v>
      </c>
      <c r="B33" s="12" t="s">
        <v>253</v>
      </c>
      <c r="C33" s="12" t="s">
        <v>254</v>
      </c>
      <c r="D33" s="12" t="s">
        <v>31</v>
      </c>
      <c r="E33" s="12" t="s">
        <v>255</v>
      </c>
      <c r="F33" s="12" t="s">
        <v>256</v>
      </c>
      <c r="G33" s="12" t="s">
        <v>257</v>
      </c>
      <c r="H33" s="12" t="s">
        <v>258</v>
      </c>
      <c r="I33" s="12" t="s">
        <v>78</v>
      </c>
      <c r="J33" s="8" t="s">
        <v>259</v>
      </c>
      <c r="K33" s="8" t="s">
        <v>222</v>
      </c>
    </row>
    <row r="34" customFormat="false" ht="23.25" hidden="false" customHeight="true" outlineLevel="0" collapsed="false">
      <c r="A34" s="12" t="s">
        <v>260</v>
      </c>
      <c r="B34" s="12" t="s">
        <v>90</v>
      </c>
      <c r="C34" s="12" t="s">
        <v>91</v>
      </c>
      <c r="D34" s="12" t="s">
        <v>24</v>
      </c>
      <c r="E34" s="12" t="s">
        <v>261</v>
      </c>
      <c r="F34" s="12" t="s">
        <v>262</v>
      </c>
      <c r="G34" s="12" t="s">
        <v>263</v>
      </c>
      <c r="H34" s="12" t="s">
        <v>264</v>
      </c>
      <c r="I34" s="12" t="s">
        <v>265</v>
      </c>
      <c r="J34" s="8" t="s">
        <v>96</v>
      </c>
      <c r="K34" s="8" t="s">
        <v>129</v>
      </c>
    </row>
    <row r="35" customFormat="false" ht="15" hidden="false" customHeight="true" outlineLevel="0" collapsed="false">
      <c r="A35" s="12" t="s">
        <v>266</v>
      </c>
      <c r="B35" s="12" t="s">
        <v>267</v>
      </c>
      <c r="C35" s="12" t="s">
        <v>268</v>
      </c>
      <c r="D35" s="12" t="s">
        <v>30</v>
      </c>
      <c r="E35" s="12" t="s">
        <v>183</v>
      </c>
      <c r="F35" s="12" t="s">
        <v>224</v>
      </c>
      <c r="G35" s="12" t="s">
        <v>165</v>
      </c>
      <c r="H35" s="12" t="s">
        <v>269</v>
      </c>
      <c r="I35" s="12" t="s">
        <v>86</v>
      </c>
      <c r="J35" s="8" t="s">
        <v>270</v>
      </c>
      <c r="K35" s="8" t="s">
        <v>88</v>
      </c>
    </row>
    <row r="36" customFormat="false" ht="23.25" hidden="false" customHeight="true" outlineLevel="0" collapsed="false">
      <c r="A36" s="12" t="s">
        <v>271</v>
      </c>
      <c r="B36" s="12" t="s">
        <v>272</v>
      </c>
      <c r="C36" s="12" t="s">
        <v>155</v>
      </c>
      <c r="D36" s="12" t="s">
        <v>23</v>
      </c>
      <c r="E36" s="12" t="s">
        <v>273</v>
      </c>
      <c r="F36" s="12" t="s">
        <v>274</v>
      </c>
      <c r="G36" s="12" t="s">
        <v>275</v>
      </c>
      <c r="H36" s="12" t="s">
        <v>276</v>
      </c>
      <c r="I36" s="12" t="s">
        <v>50</v>
      </c>
      <c r="J36" s="8" t="s">
        <v>160</v>
      </c>
      <c r="K36" s="8" t="s">
        <v>161</v>
      </c>
    </row>
    <row r="37" customFormat="false" ht="15" hidden="false" customHeight="true" outlineLevel="0" collapsed="false">
      <c r="A37" s="12" t="s">
        <v>271</v>
      </c>
      <c r="B37" s="12" t="s">
        <v>194</v>
      </c>
      <c r="C37" s="12" t="s">
        <v>195</v>
      </c>
      <c r="D37" s="12" t="s">
        <v>23</v>
      </c>
      <c r="E37" s="12" t="s">
        <v>277</v>
      </c>
      <c r="F37" s="12" t="s">
        <v>278</v>
      </c>
      <c r="G37" s="12" t="s">
        <v>279</v>
      </c>
      <c r="H37" s="12" t="s">
        <v>280</v>
      </c>
      <c r="I37" s="12" t="s">
        <v>78</v>
      </c>
      <c r="J37" s="8" t="s">
        <v>198</v>
      </c>
      <c r="K37" s="8" t="s">
        <v>88</v>
      </c>
    </row>
    <row r="38" customFormat="false" ht="23.25" hidden="false" customHeight="true" outlineLevel="0" collapsed="false">
      <c r="A38" s="12" t="s">
        <v>281</v>
      </c>
      <c r="B38" s="12" t="s">
        <v>44</v>
      </c>
      <c r="C38" s="12" t="s">
        <v>45</v>
      </c>
      <c r="D38" s="12" t="s">
        <v>23</v>
      </c>
      <c r="E38" s="12" t="s">
        <v>282</v>
      </c>
      <c r="F38" s="12" t="s">
        <v>283</v>
      </c>
      <c r="G38" s="12" t="s">
        <v>284</v>
      </c>
      <c r="H38" s="12" t="s">
        <v>285</v>
      </c>
      <c r="I38" s="12" t="s">
        <v>86</v>
      </c>
      <c r="J38" s="8" t="s">
        <v>51</v>
      </c>
      <c r="K38" s="8" t="s">
        <v>88</v>
      </c>
    </row>
    <row r="39" customFormat="false" ht="15" hidden="false" customHeight="true" outlineLevel="0" collapsed="false">
      <c r="A39" s="12" t="s">
        <v>281</v>
      </c>
      <c r="B39" s="12" t="s">
        <v>286</v>
      </c>
      <c r="C39" s="12" t="s">
        <v>287</v>
      </c>
      <c r="D39" s="12" t="s">
        <v>30</v>
      </c>
      <c r="E39" s="12" t="s">
        <v>288</v>
      </c>
      <c r="F39" s="12" t="s">
        <v>289</v>
      </c>
      <c r="G39" s="12" t="s">
        <v>290</v>
      </c>
      <c r="H39" s="12" t="s">
        <v>291</v>
      </c>
      <c r="I39" s="12" t="s">
        <v>86</v>
      </c>
      <c r="J39" s="8" t="s">
        <v>292</v>
      </c>
      <c r="K39" s="8" t="s">
        <v>161</v>
      </c>
    </row>
    <row r="40" customFormat="false" ht="15" hidden="false" customHeight="true" outlineLevel="0" collapsed="false">
      <c r="A40" s="12" t="s">
        <v>293</v>
      </c>
      <c r="B40" s="12" t="s">
        <v>294</v>
      </c>
      <c r="C40" s="12" t="s">
        <v>295</v>
      </c>
      <c r="D40" s="12" t="s">
        <v>23</v>
      </c>
      <c r="E40" s="12" t="s">
        <v>183</v>
      </c>
      <c r="F40" s="12" t="s">
        <v>296</v>
      </c>
      <c r="G40" s="12" t="s">
        <v>119</v>
      </c>
      <c r="H40" s="12" t="s">
        <v>297</v>
      </c>
      <c r="I40" s="12" t="s">
        <v>86</v>
      </c>
      <c r="J40" s="8" t="s">
        <v>298</v>
      </c>
      <c r="K40" s="8" t="s">
        <v>88</v>
      </c>
    </row>
    <row r="41" customFormat="false" ht="34.5" hidden="false" customHeight="true" outlineLevel="0" collapsed="false">
      <c r="A41" s="12" t="s">
        <v>299</v>
      </c>
      <c r="B41" s="12" t="s">
        <v>44</v>
      </c>
      <c r="C41" s="12" t="s">
        <v>45</v>
      </c>
      <c r="D41" s="12" t="s">
        <v>24</v>
      </c>
      <c r="E41" s="12" t="s">
        <v>300</v>
      </c>
      <c r="F41" s="12" t="s">
        <v>301</v>
      </c>
      <c r="G41" s="12" t="s">
        <v>302</v>
      </c>
      <c r="H41" s="12" t="s">
        <v>303</v>
      </c>
      <c r="I41" s="12" t="s">
        <v>265</v>
      </c>
      <c r="J41" s="8" t="s">
        <v>51</v>
      </c>
      <c r="K41" s="8" t="s">
        <v>88</v>
      </c>
    </row>
    <row r="42" customFormat="false" ht="34.5" hidden="false" customHeight="true" outlineLevel="0" collapsed="false">
      <c r="A42" s="12" t="s">
        <v>304</v>
      </c>
      <c r="B42" s="12" t="s">
        <v>305</v>
      </c>
      <c r="C42" s="12" t="s">
        <v>295</v>
      </c>
      <c r="D42" s="12" t="s">
        <v>30</v>
      </c>
      <c r="E42" s="12" t="s">
        <v>306</v>
      </c>
      <c r="F42" s="12" t="s">
        <v>307</v>
      </c>
      <c r="G42" s="12" t="s">
        <v>308</v>
      </c>
      <c r="H42" s="12" t="s">
        <v>309</v>
      </c>
      <c r="I42" s="12" t="s">
        <v>78</v>
      </c>
      <c r="J42" s="8" t="s">
        <v>298</v>
      </c>
      <c r="K42" s="8" t="s">
        <v>88</v>
      </c>
    </row>
    <row r="43" customFormat="false" ht="23.25" hidden="false" customHeight="true" outlineLevel="0" collapsed="false">
      <c r="A43" s="12" t="s">
        <v>310</v>
      </c>
      <c r="B43" s="12" t="s">
        <v>311</v>
      </c>
      <c r="C43" s="12" t="s">
        <v>312</v>
      </c>
      <c r="D43" s="12" t="s">
        <v>24</v>
      </c>
      <c r="E43" s="12" t="s">
        <v>313</v>
      </c>
      <c r="F43" s="12" t="s">
        <v>314</v>
      </c>
      <c r="G43" s="12" t="s">
        <v>315</v>
      </c>
      <c r="H43" s="12" t="s">
        <v>316</v>
      </c>
      <c r="I43" s="12" t="s">
        <v>265</v>
      </c>
      <c r="J43" s="8" t="s">
        <v>317</v>
      </c>
      <c r="K43" s="8" t="s">
        <v>129</v>
      </c>
    </row>
    <row r="44" customFormat="false" ht="15" hidden="false" customHeight="true" outlineLevel="0" collapsed="false">
      <c r="A44" s="12" t="s">
        <v>318</v>
      </c>
      <c r="B44" s="12" t="s">
        <v>97</v>
      </c>
      <c r="C44" s="12" t="s">
        <v>98</v>
      </c>
      <c r="D44" s="12" t="s">
        <v>29</v>
      </c>
      <c r="E44" s="12" t="s">
        <v>319</v>
      </c>
      <c r="F44" s="12" t="s">
        <v>320</v>
      </c>
      <c r="G44" s="12" t="s">
        <v>119</v>
      </c>
      <c r="H44" s="12" t="s">
        <v>321</v>
      </c>
      <c r="I44" s="12" t="s">
        <v>86</v>
      </c>
      <c r="J44" s="8" t="s">
        <v>104</v>
      </c>
      <c r="K44" s="8" t="s">
        <v>322</v>
      </c>
    </row>
    <row r="45" customFormat="false" ht="34.5" hidden="false" customHeight="true" outlineLevel="0" collapsed="false">
      <c r="A45" s="12" t="s">
        <v>323</v>
      </c>
      <c r="B45" s="12" t="s">
        <v>90</v>
      </c>
      <c r="C45" s="12" t="s">
        <v>91</v>
      </c>
      <c r="D45" s="12" t="s">
        <v>24</v>
      </c>
      <c r="E45" s="12" t="s">
        <v>324</v>
      </c>
      <c r="F45" s="12" t="s">
        <v>325</v>
      </c>
      <c r="G45" s="12" t="s">
        <v>326</v>
      </c>
      <c r="H45" s="12" t="s">
        <v>327</v>
      </c>
      <c r="I45" s="12" t="s">
        <v>265</v>
      </c>
      <c r="J45" s="8" t="s">
        <v>96</v>
      </c>
      <c r="K45" s="8" t="s">
        <v>88</v>
      </c>
    </row>
    <row r="46" customFormat="false" ht="15" hidden="false" customHeight="true" outlineLevel="0" collapsed="false">
      <c r="A46" s="12" t="s">
        <v>328</v>
      </c>
      <c r="B46" s="12" t="s">
        <v>329</v>
      </c>
      <c r="C46" s="12" t="s">
        <v>330</v>
      </c>
      <c r="D46" s="12" t="s">
        <v>23</v>
      </c>
      <c r="E46" s="12" t="s">
        <v>331</v>
      </c>
      <c r="F46" s="12" t="s">
        <v>332</v>
      </c>
      <c r="G46" s="12" t="s">
        <v>333</v>
      </c>
      <c r="H46" s="12" t="s">
        <v>334</v>
      </c>
      <c r="I46" s="12" t="s">
        <v>86</v>
      </c>
      <c r="J46" s="8" t="s">
        <v>335</v>
      </c>
      <c r="K46" s="8" t="s">
        <v>152</v>
      </c>
    </row>
    <row r="47" customFormat="false" ht="15" hidden="false" customHeight="true" outlineLevel="0" collapsed="false">
      <c r="A47" s="12" t="s">
        <v>336</v>
      </c>
      <c r="B47" s="12" t="s">
        <v>131</v>
      </c>
      <c r="C47" s="12" t="s">
        <v>132</v>
      </c>
      <c r="D47" s="12" t="s">
        <v>24</v>
      </c>
      <c r="E47" s="12" t="s">
        <v>337</v>
      </c>
      <c r="F47" s="12" t="s">
        <v>338</v>
      </c>
      <c r="G47" s="12" t="s">
        <v>339</v>
      </c>
      <c r="H47" s="12" t="s">
        <v>340</v>
      </c>
      <c r="I47" s="12" t="s">
        <v>103</v>
      </c>
      <c r="J47" s="8" t="s">
        <v>137</v>
      </c>
      <c r="K47" s="8" t="s">
        <v>52</v>
      </c>
    </row>
    <row r="48" customFormat="false" ht="15" hidden="false" customHeight="true" outlineLevel="0" collapsed="false">
      <c r="A48" s="12" t="s">
        <v>341</v>
      </c>
      <c r="B48" s="12" t="s">
        <v>115</v>
      </c>
      <c r="C48" s="12" t="s">
        <v>116</v>
      </c>
      <c r="D48" s="12" t="s">
        <v>28</v>
      </c>
      <c r="E48" s="12" t="s">
        <v>342</v>
      </c>
      <c r="F48" s="12" t="s">
        <v>343</v>
      </c>
      <c r="G48" s="12" t="s">
        <v>344</v>
      </c>
      <c r="H48" s="12" t="s">
        <v>345</v>
      </c>
      <c r="I48" s="12" t="s">
        <v>58</v>
      </c>
      <c r="J48" s="8" t="s">
        <v>121</v>
      </c>
      <c r="K48" s="8" t="s">
        <v>152</v>
      </c>
    </row>
    <row r="49" customFormat="false" ht="34.5" hidden="false" customHeight="true" outlineLevel="0" collapsed="false">
      <c r="A49" s="12" t="s">
        <v>346</v>
      </c>
      <c r="B49" s="12" t="s">
        <v>294</v>
      </c>
      <c r="C49" s="12" t="s">
        <v>295</v>
      </c>
      <c r="D49" s="12" t="s">
        <v>31</v>
      </c>
      <c r="E49" s="12" t="s">
        <v>347</v>
      </c>
      <c r="F49" s="12" t="s">
        <v>348</v>
      </c>
      <c r="G49" s="12" t="s">
        <v>349</v>
      </c>
      <c r="H49" s="12" t="s">
        <v>350</v>
      </c>
      <c r="I49" s="12" t="s">
        <v>78</v>
      </c>
      <c r="J49" s="8" t="s">
        <v>298</v>
      </c>
      <c r="K49" s="8" t="s">
        <v>52</v>
      </c>
    </row>
    <row r="50" customFormat="false" ht="34.5" hidden="false" customHeight="true" outlineLevel="0" collapsed="false">
      <c r="A50" s="12" t="s">
        <v>351</v>
      </c>
      <c r="B50" s="12" t="s">
        <v>44</v>
      </c>
      <c r="C50" s="12" t="s">
        <v>45</v>
      </c>
      <c r="D50" s="12" t="s">
        <v>25</v>
      </c>
      <c r="E50" s="12" t="s">
        <v>352</v>
      </c>
      <c r="F50" s="12" t="s">
        <v>353</v>
      </c>
      <c r="G50" s="12" t="s">
        <v>354</v>
      </c>
      <c r="H50" s="12" t="s">
        <v>355</v>
      </c>
      <c r="I50" s="12" t="s">
        <v>265</v>
      </c>
      <c r="J50" s="8" t="s">
        <v>51</v>
      </c>
      <c r="K50" s="8" t="s">
        <v>52</v>
      </c>
    </row>
    <row r="51" customFormat="false" ht="34.5" hidden="false" customHeight="true" outlineLevel="0" collapsed="false">
      <c r="A51" s="12" t="s">
        <v>356</v>
      </c>
      <c r="B51" s="12" t="s">
        <v>44</v>
      </c>
      <c r="C51" s="12" t="s">
        <v>45</v>
      </c>
      <c r="D51" s="12" t="s">
        <v>25</v>
      </c>
      <c r="E51" s="12" t="s">
        <v>357</v>
      </c>
      <c r="F51" s="12" t="s">
        <v>358</v>
      </c>
      <c r="G51" s="12" t="s">
        <v>359</v>
      </c>
      <c r="H51" s="12" t="s">
        <v>360</v>
      </c>
      <c r="I51" s="12" t="s">
        <v>78</v>
      </c>
      <c r="J51" s="8" t="s">
        <v>51</v>
      </c>
      <c r="K51" s="8" t="s">
        <v>129</v>
      </c>
    </row>
    <row r="52" customFormat="false" ht="23.25" hidden="false" customHeight="true" outlineLevel="0" collapsed="false">
      <c r="A52" s="12" t="s">
        <v>361</v>
      </c>
      <c r="B52" s="12" t="s">
        <v>172</v>
      </c>
      <c r="C52" s="12" t="s">
        <v>173</v>
      </c>
      <c r="D52" s="12" t="s">
        <v>30</v>
      </c>
      <c r="E52" s="12" t="s">
        <v>362</v>
      </c>
      <c r="F52" s="12" t="s">
        <v>363</v>
      </c>
      <c r="G52" s="12" t="s">
        <v>364</v>
      </c>
      <c r="H52" s="12" t="s">
        <v>365</v>
      </c>
      <c r="I52" s="12" t="s">
        <v>50</v>
      </c>
      <c r="J52" s="8" t="s">
        <v>178</v>
      </c>
      <c r="K52" s="8" t="s">
        <v>129</v>
      </c>
    </row>
    <row r="53" customFormat="false" ht="15" hidden="false" customHeight="true" outlineLevel="0" collapsed="false">
      <c r="A53" s="12" t="s">
        <v>366</v>
      </c>
      <c r="B53" s="12" t="s">
        <v>367</v>
      </c>
      <c r="C53" s="12" t="s">
        <v>368</v>
      </c>
      <c r="D53" s="12" t="s">
        <v>23</v>
      </c>
      <c r="E53" s="12" t="s">
        <v>369</v>
      </c>
      <c r="F53" s="12" t="s">
        <v>370</v>
      </c>
      <c r="G53" s="12" t="s">
        <v>371</v>
      </c>
      <c r="H53" s="12" t="s">
        <v>372</v>
      </c>
      <c r="I53" s="12" t="s">
        <v>58</v>
      </c>
      <c r="J53" s="8" t="s">
        <v>373</v>
      </c>
      <c r="K53" s="8" t="s">
        <v>222</v>
      </c>
    </row>
    <row r="54" customFormat="false" ht="23.25" hidden="false" customHeight="true" outlineLevel="0" collapsed="false">
      <c r="A54" s="12" t="s">
        <v>374</v>
      </c>
      <c r="B54" s="12" t="s">
        <v>375</v>
      </c>
      <c r="C54" s="12" t="s">
        <v>287</v>
      </c>
      <c r="D54" s="12" t="s">
        <v>23</v>
      </c>
      <c r="E54" s="12" t="s">
        <v>376</v>
      </c>
      <c r="F54" s="12" t="s">
        <v>377</v>
      </c>
      <c r="G54" s="12" t="s">
        <v>378</v>
      </c>
      <c r="H54" s="12" t="s">
        <v>379</v>
      </c>
      <c r="I54" s="12" t="s">
        <v>50</v>
      </c>
      <c r="J54" s="8" t="s">
        <v>292</v>
      </c>
      <c r="K54" s="8" t="s">
        <v>161</v>
      </c>
    </row>
    <row r="55" customFormat="false" ht="15" hidden="false" customHeight="true" outlineLevel="0" collapsed="false">
      <c r="A55" s="12" t="s">
        <v>380</v>
      </c>
      <c r="B55" s="12" t="s">
        <v>311</v>
      </c>
      <c r="C55" s="12" t="s">
        <v>312</v>
      </c>
      <c r="D55" s="12" t="s">
        <v>24</v>
      </c>
      <c r="E55" s="12" t="s">
        <v>381</v>
      </c>
      <c r="F55" s="12" t="s">
        <v>382</v>
      </c>
      <c r="G55" s="12" t="s">
        <v>119</v>
      </c>
      <c r="H55" s="12" t="s">
        <v>383</v>
      </c>
      <c r="I55" s="12" t="s">
        <v>86</v>
      </c>
      <c r="J55" s="8" t="s">
        <v>317</v>
      </c>
      <c r="K55" s="8" t="s">
        <v>52</v>
      </c>
    </row>
    <row r="56" customFormat="false" ht="23.25" hidden="false" customHeight="true" outlineLevel="0" collapsed="false">
      <c r="A56" s="12" t="s">
        <v>384</v>
      </c>
      <c r="B56" s="12" t="s">
        <v>385</v>
      </c>
      <c r="C56" s="12" t="s">
        <v>386</v>
      </c>
      <c r="D56" s="12" t="s">
        <v>31</v>
      </c>
      <c r="E56" s="12" t="s">
        <v>387</v>
      </c>
      <c r="F56" s="12" t="s">
        <v>388</v>
      </c>
      <c r="G56" s="12" t="s">
        <v>389</v>
      </c>
      <c r="H56" s="12" t="s">
        <v>390</v>
      </c>
      <c r="I56" s="12" t="s">
        <v>58</v>
      </c>
      <c r="J56" s="8" t="s">
        <v>391</v>
      </c>
      <c r="K56" s="8" t="s">
        <v>129</v>
      </c>
    </row>
    <row r="57" customFormat="false" ht="15" hidden="false" customHeight="true" outlineLevel="0" collapsed="false">
      <c r="A57" s="12" t="s">
        <v>392</v>
      </c>
      <c r="B57" s="12" t="s">
        <v>393</v>
      </c>
      <c r="C57" s="12" t="s">
        <v>394</v>
      </c>
      <c r="D57" s="12" t="s">
        <v>28</v>
      </c>
      <c r="E57" s="12" t="s">
        <v>395</v>
      </c>
      <c r="F57" s="12" t="s">
        <v>396</v>
      </c>
      <c r="G57" s="12" t="s">
        <v>397</v>
      </c>
      <c r="H57" s="12" t="s">
        <v>398</v>
      </c>
      <c r="I57" s="12" t="s">
        <v>103</v>
      </c>
      <c r="J57" s="8" t="s">
        <v>399</v>
      </c>
      <c r="K57" s="8" t="s">
        <v>211</v>
      </c>
    </row>
    <row r="58" customFormat="false" ht="34.5" hidden="false" customHeight="true" outlineLevel="0" collapsed="false">
      <c r="A58" s="12" t="s">
        <v>400</v>
      </c>
      <c r="B58" s="12" t="s">
        <v>44</v>
      </c>
      <c r="C58" s="12" t="s">
        <v>45</v>
      </c>
      <c r="D58" s="12" t="s">
        <v>31</v>
      </c>
      <c r="E58" s="12" t="s">
        <v>401</v>
      </c>
      <c r="F58" s="12" t="s">
        <v>402</v>
      </c>
      <c r="G58" s="12" t="s">
        <v>403</v>
      </c>
      <c r="H58" s="12" t="s">
        <v>404</v>
      </c>
      <c r="I58" s="12" t="s">
        <v>78</v>
      </c>
      <c r="J58" s="8" t="s">
        <v>51</v>
      </c>
      <c r="K58" s="8" t="s">
        <v>222</v>
      </c>
    </row>
    <row r="59" customFormat="false" ht="45.75" hidden="false" customHeight="true" outlineLevel="0" collapsed="false">
      <c r="A59" s="12" t="s">
        <v>405</v>
      </c>
      <c r="B59" s="12" t="s">
        <v>115</v>
      </c>
      <c r="C59" s="12" t="s">
        <v>116</v>
      </c>
      <c r="D59" s="12" t="s">
        <v>30</v>
      </c>
      <c r="E59" s="12" t="s">
        <v>406</v>
      </c>
      <c r="F59" s="12" t="s">
        <v>407</v>
      </c>
      <c r="G59" s="12" t="s">
        <v>408</v>
      </c>
      <c r="H59" s="12" t="s">
        <v>409</v>
      </c>
      <c r="I59" s="12" t="s">
        <v>265</v>
      </c>
      <c r="J59" s="8" t="s">
        <v>121</v>
      </c>
      <c r="K59" s="8" t="s">
        <v>129</v>
      </c>
    </row>
    <row r="60" customFormat="false" ht="15" hidden="false" customHeight="true" outlineLevel="0" collapsed="false">
      <c r="A60" s="12" t="s">
        <v>410</v>
      </c>
      <c r="B60" s="12" t="s">
        <v>411</v>
      </c>
      <c r="C60" s="12" t="s">
        <v>412</v>
      </c>
      <c r="D60" s="12" t="s">
        <v>23</v>
      </c>
      <c r="E60" s="12" t="s">
        <v>413</v>
      </c>
      <c r="F60" s="12" t="s">
        <v>414</v>
      </c>
      <c r="G60" s="12" t="s">
        <v>415</v>
      </c>
      <c r="H60" s="12" t="s">
        <v>416</v>
      </c>
      <c r="I60" s="12" t="s">
        <v>58</v>
      </c>
      <c r="K60" s="8" t="s">
        <v>222</v>
      </c>
    </row>
    <row r="61" customFormat="false" ht="15" hidden="false" customHeight="true" outlineLevel="0" collapsed="false">
      <c r="A61" s="12" t="s">
        <v>417</v>
      </c>
      <c r="B61" s="12" t="s">
        <v>418</v>
      </c>
      <c r="C61" s="12" t="s">
        <v>419</v>
      </c>
      <c r="D61" s="12" t="s">
        <v>28</v>
      </c>
      <c r="E61" s="12" t="s">
        <v>420</v>
      </c>
      <c r="F61" s="12" t="s">
        <v>421</v>
      </c>
      <c r="G61" s="12" t="s">
        <v>422</v>
      </c>
      <c r="H61" s="12" t="s">
        <v>423</v>
      </c>
      <c r="I61" s="12" t="s">
        <v>58</v>
      </c>
      <c r="J61" s="8" t="s">
        <v>424</v>
      </c>
      <c r="K61" s="8" t="s">
        <v>129</v>
      </c>
    </row>
    <row r="62" customFormat="false" ht="15" hidden="false" customHeight="true" outlineLevel="0" collapsed="false">
      <c r="A62" s="12" t="s">
        <v>425</v>
      </c>
      <c r="B62" s="12" t="s">
        <v>139</v>
      </c>
      <c r="C62" s="12" t="s">
        <v>140</v>
      </c>
      <c r="D62" s="12" t="s">
        <v>24</v>
      </c>
      <c r="E62" s="12" t="s">
        <v>426</v>
      </c>
      <c r="F62" s="12" t="s">
        <v>427</v>
      </c>
      <c r="G62" s="12" t="s">
        <v>428</v>
      </c>
      <c r="H62" s="12" t="s">
        <v>429</v>
      </c>
      <c r="I62" s="12" t="s">
        <v>58</v>
      </c>
      <c r="J62" s="8" t="s">
        <v>145</v>
      </c>
      <c r="K62" s="8" t="s">
        <v>88</v>
      </c>
    </row>
    <row r="63" customFormat="false" ht="23.25" hidden="false" customHeight="true" outlineLevel="0" collapsed="false">
      <c r="A63" s="12" t="s">
        <v>430</v>
      </c>
      <c r="B63" s="12" t="s">
        <v>123</v>
      </c>
      <c r="C63" s="12" t="s">
        <v>124</v>
      </c>
      <c r="D63" s="12" t="s">
        <v>28</v>
      </c>
      <c r="E63" s="12" t="s">
        <v>431</v>
      </c>
      <c r="F63" s="12" t="s">
        <v>432</v>
      </c>
      <c r="G63" s="12" t="s">
        <v>422</v>
      </c>
      <c r="H63" s="12" t="s">
        <v>433</v>
      </c>
      <c r="I63" s="12" t="s">
        <v>78</v>
      </c>
      <c r="J63" s="8" t="s">
        <v>128</v>
      </c>
      <c r="K63" s="8" t="s">
        <v>52</v>
      </c>
    </row>
    <row r="64" customFormat="false" ht="34.5" hidden="false" customHeight="true" outlineLevel="0" collapsed="false">
      <c r="A64" s="12" t="s">
        <v>434</v>
      </c>
      <c r="B64" s="12" t="s">
        <v>435</v>
      </c>
      <c r="C64" s="12" t="s">
        <v>436</v>
      </c>
      <c r="D64" s="12" t="s">
        <v>24</v>
      </c>
      <c r="E64" s="12" t="s">
        <v>437</v>
      </c>
      <c r="F64" s="12" t="s">
        <v>438</v>
      </c>
      <c r="G64" s="12" t="s">
        <v>439</v>
      </c>
      <c r="H64" s="12" t="s">
        <v>440</v>
      </c>
      <c r="I64" s="12" t="s">
        <v>265</v>
      </c>
      <c r="J64" s="8" t="s">
        <v>441</v>
      </c>
      <c r="K64" s="8" t="s">
        <v>88</v>
      </c>
    </row>
    <row r="65" customFormat="false" ht="34.5" hidden="false" customHeight="true" outlineLevel="0" collapsed="false">
      <c r="A65" s="12" t="s">
        <v>442</v>
      </c>
      <c r="B65" s="12" t="s">
        <v>329</v>
      </c>
      <c r="C65" s="12" t="s">
        <v>330</v>
      </c>
      <c r="D65" s="12" t="s">
        <v>24</v>
      </c>
      <c r="E65" s="12" t="s">
        <v>443</v>
      </c>
      <c r="F65" s="12" t="s">
        <v>444</v>
      </c>
      <c r="G65" s="12" t="s">
        <v>445</v>
      </c>
      <c r="H65" s="12" t="s">
        <v>446</v>
      </c>
      <c r="I65" s="12" t="s">
        <v>265</v>
      </c>
      <c r="J65" s="8" t="s">
        <v>335</v>
      </c>
      <c r="K65" s="8" t="s">
        <v>129</v>
      </c>
    </row>
    <row r="66" customFormat="false" ht="45.75" hidden="false" customHeight="true" outlineLevel="0" collapsed="false">
      <c r="A66" s="12" t="s">
        <v>447</v>
      </c>
      <c r="B66" s="12" t="s">
        <v>44</v>
      </c>
      <c r="C66" s="12" t="s">
        <v>45</v>
      </c>
      <c r="D66" s="12" t="s">
        <v>26</v>
      </c>
      <c r="E66" s="12" t="s">
        <v>448</v>
      </c>
      <c r="F66" s="12" t="s">
        <v>449</v>
      </c>
      <c r="G66" s="12" t="s">
        <v>450</v>
      </c>
      <c r="H66" s="12" t="s">
        <v>451</v>
      </c>
      <c r="I66" s="12" t="s">
        <v>265</v>
      </c>
      <c r="J66" s="8" t="s">
        <v>51</v>
      </c>
      <c r="K66" s="8" t="s">
        <v>52</v>
      </c>
    </row>
    <row r="67" customFormat="false" ht="34.5" hidden="false" customHeight="true" outlineLevel="0" collapsed="false">
      <c r="A67" s="12" t="s">
        <v>452</v>
      </c>
      <c r="B67" s="12" t="s">
        <v>453</v>
      </c>
      <c r="C67" s="12" t="s">
        <v>454</v>
      </c>
      <c r="D67" s="12" t="s">
        <v>23</v>
      </c>
      <c r="E67" s="12" t="s">
        <v>455</v>
      </c>
      <c r="F67" s="12" t="s">
        <v>456</v>
      </c>
      <c r="G67" s="12" t="s">
        <v>457</v>
      </c>
      <c r="H67" s="12" t="s">
        <v>458</v>
      </c>
      <c r="I67" s="12" t="s">
        <v>50</v>
      </c>
      <c r="J67" s="8" t="s">
        <v>459</v>
      </c>
      <c r="K67" s="8" t="s">
        <v>211</v>
      </c>
    </row>
    <row r="68" customFormat="false" ht="15" hidden="false" customHeight="true" outlineLevel="0" collapsed="false">
      <c r="A68" s="12" t="s">
        <v>460</v>
      </c>
      <c r="B68" s="12" t="s">
        <v>461</v>
      </c>
      <c r="C68" s="12" t="s">
        <v>462</v>
      </c>
      <c r="D68" s="12" t="s">
        <v>23</v>
      </c>
      <c r="E68" s="12" t="s">
        <v>463</v>
      </c>
      <c r="F68" s="12" t="s">
        <v>464</v>
      </c>
      <c r="G68" s="12" t="s">
        <v>465</v>
      </c>
      <c r="H68" s="12" t="s">
        <v>466</v>
      </c>
      <c r="I68" s="12" t="s">
        <v>58</v>
      </c>
      <c r="K68" s="8" t="s">
        <v>222</v>
      </c>
    </row>
    <row r="69" customFormat="false" ht="15" hidden="false" customHeight="true" outlineLevel="0" collapsed="false">
      <c r="A69" s="12" t="s">
        <v>467</v>
      </c>
      <c r="B69" s="12" t="s">
        <v>90</v>
      </c>
      <c r="C69" s="12" t="s">
        <v>91</v>
      </c>
      <c r="D69" s="12" t="s">
        <v>25</v>
      </c>
      <c r="E69" s="12" t="s">
        <v>468</v>
      </c>
      <c r="F69" s="12" t="s">
        <v>469</v>
      </c>
      <c r="G69" s="12" t="s">
        <v>470</v>
      </c>
      <c r="H69" s="12" t="s">
        <v>471</v>
      </c>
      <c r="I69" s="12" t="s">
        <v>472</v>
      </c>
      <c r="J69" s="8" t="s">
        <v>96</v>
      </c>
      <c r="K69" s="8" t="s">
        <v>52</v>
      </c>
    </row>
    <row r="70" customFormat="false" ht="15" hidden="false" customHeight="true" outlineLevel="0" collapsed="false">
      <c r="A70" s="12" t="s">
        <v>473</v>
      </c>
      <c r="B70" s="12" t="s">
        <v>90</v>
      </c>
      <c r="C70" s="12" t="s">
        <v>91</v>
      </c>
      <c r="D70" s="12" t="s">
        <v>28</v>
      </c>
      <c r="E70" s="12" t="s">
        <v>474</v>
      </c>
      <c r="F70" s="12" t="s">
        <v>475</v>
      </c>
      <c r="G70" s="12" t="s">
        <v>119</v>
      </c>
      <c r="H70" s="12" t="s">
        <v>476</v>
      </c>
      <c r="I70" s="12" t="s">
        <v>58</v>
      </c>
      <c r="J70" s="8" t="s">
        <v>96</v>
      </c>
      <c r="K70" s="8" t="s">
        <v>88</v>
      </c>
    </row>
    <row r="71" customFormat="false" ht="15" hidden="false" customHeight="true" outlineLevel="0" collapsed="false">
      <c r="A71" s="12" t="s">
        <v>477</v>
      </c>
      <c r="B71" s="12" t="s">
        <v>418</v>
      </c>
      <c r="C71" s="12" t="s">
        <v>419</v>
      </c>
      <c r="D71" s="12" t="s">
        <v>28</v>
      </c>
      <c r="E71" s="12" t="s">
        <v>478</v>
      </c>
      <c r="F71" s="12" t="s">
        <v>479</v>
      </c>
      <c r="G71" s="12" t="s">
        <v>480</v>
      </c>
      <c r="H71" s="12" t="s">
        <v>481</v>
      </c>
      <c r="I71" s="12" t="s">
        <v>103</v>
      </c>
      <c r="J71" s="8" t="s">
        <v>424</v>
      </c>
      <c r="K71" s="8" t="s">
        <v>129</v>
      </c>
    </row>
    <row r="72" customFormat="false" ht="23.25" hidden="false" customHeight="true" outlineLevel="0" collapsed="false">
      <c r="A72" s="12" t="s">
        <v>477</v>
      </c>
      <c r="B72" s="12" t="s">
        <v>482</v>
      </c>
      <c r="C72" s="12" t="s">
        <v>483</v>
      </c>
      <c r="D72" s="12" t="s">
        <v>28</v>
      </c>
      <c r="E72" s="12" t="s">
        <v>484</v>
      </c>
      <c r="F72" s="12" t="s">
        <v>485</v>
      </c>
      <c r="G72" s="12" t="s">
        <v>486</v>
      </c>
      <c r="H72" s="12" t="s">
        <v>487</v>
      </c>
      <c r="I72" s="12" t="s">
        <v>86</v>
      </c>
      <c r="J72" s="8" t="s">
        <v>488</v>
      </c>
      <c r="K72" s="8" t="s">
        <v>88</v>
      </c>
    </row>
    <row r="73" customFormat="false" ht="34.5" hidden="false" customHeight="true" outlineLevel="0" collapsed="false">
      <c r="A73" s="12" t="s">
        <v>489</v>
      </c>
      <c r="B73" s="12" t="s">
        <v>90</v>
      </c>
      <c r="C73" s="12" t="s">
        <v>91</v>
      </c>
      <c r="D73" s="12" t="s">
        <v>25</v>
      </c>
      <c r="E73" s="12" t="s">
        <v>490</v>
      </c>
      <c r="F73" s="12" t="s">
        <v>491</v>
      </c>
      <c r="G73" s="12" t="s">
        <v>492</v>
      </c>
      <c r="H73" s="12" t="s">
        <v>493</v>
      </c>
      <c r="I73" s="12" t="s">
        <v>78</v>
      </c>
      <c r="J73" s="8" t="s">
        <v>96</v>
      </c>
      <c r="K73" s="8" t="s">
        <v>129</v>
      </c>
    </row>
    <row r="74" customFormat="false" ht="15" hidden="false" customHeight="true" outlineLevel="0" collapsed="false">
      <c r="A74" s="12" t="s">
        <v>494</v>
      </c>
      <c r="B74" s="12" t="s">
        <v>495</v>
      </c>
      <c r="C74" s="12" t="s">
        <v>496</v>
      </c>
      <c r="D74" s="12" t="s">
        <v>28</v>
      </c>
      <c r="E74" s="12" t="s">
        <v>497</v>
      </c>
      <c r="F74" s="12" t="s">
        <v>498</v>
      </c>
      <c r="G74" s="12" t="s">
        <v>119</v>
      </c>
      <c r="H74" s="12" t="s">
        <v>499</v>
      </c>
      <c r="I74" s="12" t="s">
        <v>58</v>
      </c>
      <c r="J74" s="8" t="s">
        <v>500</v>
      </c>
      <c r="K74" s="8" t="s">
        <v>501</v>
      </c>
    </row>
    <row r="75" customFormat="false" ht="34.5" hidden="false" customHeight="true" outlineLevel="0" collapsed="false">
      <c r="A75" s="12" t="s">
        <v>502</v>
      </c>
      <c r="B75" s="12" t="s">
        <v>503</v>
      </c>
      <c r="C75" s="12" t="s">
        <v>504</v>
      </c>
      <c r="D75" s="12" t="s">
        <v>30</v>
      </c>
      <c r="E75" s="12" t="s">
        <v>505</v>
      </c>
      <c r="F75" s="12" t="s">
        <v>506</v>
      </c>
      <c r="G75" s="12" t="s">
        <v>507</v>
      </c>
      <c r="H75" s="12" t="s">
        <v>508</v>
      </c>
      <c r="I75" s="12" t="s">
        <v>78</v>
      </c>
      <c r="J75" s="8" t="s">
        <v>509</v>
      </c>
      <c r="K75" s="8" t="s">
        <v>129</v>
      </c>
    </row>
    <row r="76" customFormat="false" ht="15" hidden="false" customHeight="true" outlineLevel="0" collapsed="false">
      <c r="A76" s="12" t="s">
        <v>510</v>
      </c>
      <c r="B76" s="12" t="s">
        <v>511</v>
      </c>
      <c r="C76" s="12" t="s">
        <v>512</v>
      </c>
      <c r="D76" s="12" t="s">
        <v>28</v>
      </c>
      <c r="E76" s="12" t="s">
        <v>381</v>
      </c>
      <c r="F76" s="12" t="s">
        <v>126</v>
      </c>
      <c r="G76" s="12" t="s">
        <v>119</v>
      </c>
      <c r="H76" s="12" t="s">
        <v>513</v>
      </c>
      <c r="I76" s="12" t="s">
        <v>86</v>
      </c>
      <c r="J76" s="8" t="s">
        <v>514</v>
      </c>
      <c r="K76" s="8" t="s">
        <v>52</v>
      </c>
    </row>
    <row r="77" customFormat="false" ht="15" hidden="false" customHeight="true" outlineLevel="0" collapsed="false">
      <c r="A77" s="12" t="s">
        <v>515</v>
      </c>
      <c r="B77" s="12" t="s">
        <v>115</v>
      </c>
      <c r="C77" s="12" t="s">
        <v>116</v>
      </c>
      <c r="D77" s="12" t="s">
        <v>28</v>
      </c>
      <c r="E77" s="12" t="s">
        <v>516</v>
      </c>
      <c r="F77" s="12" t="s">
        <v>517</v>
      </c>
      <c r="G77" s="12" t="s">
        <v>518</v>
      </c>
      <c r="H77" s="12" t="s">
        <v>519</v>
      </c>
      <c r="I77" s="12" t="s">
        <v>58</v>
      </c>
      <c r="J77" s="8" t="s">
        <v>121</v>
      </c>
      <c r="K77" s="8" t="s">
        <v>520</v>
      </c>
    </row>
    <row r="78" customFormat="false" ht="15" hidden="false" customHeight="true" outlineLevel="0" collapsed="false">
      <c r="A78" s="12" t="s">
        <v>521</v>
      </c>
      <c r="B78" s="12" t="s">
        <v>329</v>
      </c>
      <c r="C78" s="12" t="s">
        <v>330</v>
      </c>
      <c r="D78" s="12" t="s">
        <v>28</v>
      </c>
      <c r="E78" s="12" t="s">
        <v>522</v>
      </c>
      <c r="F78" s="12" t="s">
        <v>523</v>
      </c>
      <c r="G78" s="12" t="s">
        <v>119</v>
      </c>
      <c r="H78" s="12" t="s">
        <v>524</v>
      </c>
      <c r="I78" s="12" t="s">
        <v>86</v>
      </c>
      <c r="J78" s="8" t="s">
        <v>335</v>
      </c>
      <c r="K78" s="8" t="s">
        <v>525</v>
      </c>
    </row>
    <row r="79" customFormat="false" ht="15" hidden="false" customHeight="true" outlineLevel="0" collapsed="false">
      <c r="A79" s="12" t="s">
        <v>521</v>
      </c>
      <c r="B79" s="12" t="s">
        <v>90</v>
      </c>
      <c r="C79" s="12" t="s">
        <v>91</v>
      </c>
      <c r="D79" s="12" t="s">
        <v>26</v>
      </c>
      <c r="E79" s="12" t="s">
        <v>526</v>
      </c>
      <c r="F79" s="12" t="s">
        <v>527</v>
      </c>
      <c r="G79" s="12" t="s">
        <v>528</v>
      </c>
      <c r="H79" s="12" t="s">
        <v>529</v>
      </c>
      <c r="I79" s="12" t="s">
        <v>86</v>
      </c>
      <c r="J79" s="8" t="s">
        <v>96</v>
      </c>
      <c r="K79" s="8" t="s">
        <v>129</v>
      </c>
    </row>
    <row r="80" customFormat="false" ht="15" hidden="false" customHeight="true" outlineLevel="0" collapsed="false">
      <c r="A80" s="12" t="s">
        <v>530</v>
      </c>
      <c r="B80" s="12" t="s">
        <v>531</v>
      </c>
      <c r="C80" s="12" t="s">
        <v>532</v>
      </c>
      <c r="D80" s="12" t="s">
        <v>28</v>
      </c>
      <c r="E80" s="12" t="s">
        <v>533</v>
      </c>
      <c r="F80" s="12" t="s">
        <v>432</v>
      </c>
      <c r="G80" s="12" t="s">
        <v>470</v>
      </c>
      <c r="H80" s="12" t="s">
        <v>534</v>
      </c>
      <c r="I80" s="12" t="s">
        <v>86</v>
      </c>
      <c r="J80" s="8" t="s">
        <v>535</v>
      </c>
      <c r="K80" s="8" t="s">
        <v>322</v>
      </c>
    </row>
    <row r="81" customFormat="false" ht="15" hidden="false" customHeight="true" outlineLevel="0" collapsed="false">
      <c r="A81" s="12" t="s">
        <v>536</v>
      </c>
      <c r="B81" s="12" t="s">
        <v>537</v>
      </c>
      <c r="C81" s="12" t="s">
        <v>538</v>
      </c>
      <c r="D81" s="12" t="s">
        <v>30</v>
      </c>
      <c r="E81" s="12" t="s">
        <v>319</v>
      </c>
      <c r="F81" s="12" t="s">
        <v>224</v>
      </c>
      <c r="G81" s="12" t="s">
        <v>165</v>
      </c>
      <c r="H81" s="12" t="s">
        <v>539</v>
      </c>
      <c r="I81" s="12" t="s">
        <v>86</v>
      </c>
      <c r="J81" s="8" t="s">
        <v>335</v>
      </c>
      <c r="K81" s="8" t="s">
        <v>322</v>
      </c>
    </row>
    <row r="82" customFormat="false" ht="15" hidden="false" customHeight="true" outlineLevel="0" collapsed="false">
      <c r="A82" s="12" t="s">
        <v>540</v>
      </c>
      <c r="B82" s="12" t="s">
        <v>541</v>
      </c>
      <c r="C82" s="12" t="s">
        <v>542</v>
      </c>
      <c r="D82" s="12" t="s">
        <v>30</v>
      </c>
      <c r="E82" s="12" t="s">
        <v>288</v>
      </c>
      <c r="F82" s="12" t="s">
        <v>543</v>
      </c>
      <c r="G82" s="12" t="s">
        <v>165</v>
      </c>
      <c r="H82" s="12" t="s">
        <v>544</v>
      </c>
      <c r="I82" s="12" t="s">
        <v>86</v>
      </c>
      <c r="J82" s="8" t="s">
        <v>545</v>
      </c>
      <c r="K82" s="8" t="s">
        <v>161</v>
      </c>
    </row>
    <row r="83" customFormat="false" ht="15" hidden="false" customHeight="true" outlineLevel="0" collapsed="false">
      <c r="A83" s="12" t="s">
        <v>546</v>
      </c>
      <c r="B83" s="12" t="s">
        <v>286</v>
      </c>
      <c r="C83" s="12" t="s">
        <v>287</v>
      </c>
      <c r="D83" s="12" t="s">
        <v>30</v>
      </c>
      <c r="E83" s="12" t="s">
        <v>547</v>
      </c>
      <c r="F83" s="12" t="s">
        <v>548</v>
      </c>
      <c r="G83" s="12" t="s">
        <v>290</v>
      </c>
      <c r="H83" s="12" t="s">
        <v>549</v>
      </c>
      <c r="I83" s="12" t="s">
        <v>58</v>
      </c>
      <c r="J83" s="8" t="s">
        <v>292</v>
      </c>
      <c r="K83" s="8" t="s">
        <v>161</v>
      </c>
    </row>
    <row r="84" customFormat="false" ht="15" hidden="false" customHeight="true" outlineLevel="0" collapsed="false">
      <c r="A84" s="12" t="s">
        <v>550</v>
      </c>
      <c r="B84" s="12" t="s">
        <v>194</v>
      </c>
      <c r="C84" s="12" t="s">
        <v>195</v>
      </c>
      <c r="D84" s="12" t="s">
        <v>28</v>
      </c>
      <c r="E84" s="12" t="s">
        <v>551</v>
      </c>
      <c r="F84" s="12" t="s">
        <v>552</v>
      </c>
      <c r="G84" s="12" t="s">
        <v>422</v>
      </c>
      <c r="H84" s="12" t="s">
        <v>553</v>
      </c>
      <c r="I84" s="12" t="s">
        <v>58</v>
      </c>
      <c r="J84" s="8" t="s">
        <v>198</v>
      </c>
      <c r="K84" s="8" t="s">
        <v>129</v>
      </c>
    </row>
    <row r="85" customFormat="false" ht="15" hidden="false" customHeight="true" outlineLevel="0" collapsed="false">
      <c r="A85" s="12" t="s">
        <v>554</v>
      </c>
      <c r="B85" s="12" t="s">
        <v>555</v>
      </c>
      <c r="C85" s="12" t="s">
        <v>504</v>
      </c>
      <c r="D85" s="12" t="s">
        <v>30</v>
      </c>
      <c r="E85" s="12" t="s">
        <v>556</v>
      </c>
      <c r="F85" s="12" t="s">
        <v>557</v>
      </c>
      <c r="G85" s="12" t="s">
        <v>290</v>
      </c>
      <c r="H85" s="12" t="s">
        <v>558</v>
      </c>
      <c r="I85" s="12" t="s">
        <v>86</v>
      </c>
      <c r="J85" s="8" t="s">
        <v>509</v>
      </c>
      <c r="K85" s="8" t="s">
        <v>129</v>
      </c>
    </row>
    <row r="86" customFormat="false" ht="15" hidden="false" customHeight="true" outlineLevel="0" collapsed="false">
      <c r="A86" s="12" t="s">
        <v>559</v>
      </c>
      <c r="B86" s="12" t="s">
        <v>154</v>
      </c>
      <c r="C86" s="12" t="s">
        <v>155</v>
      </c>
      <c r="D86" s="12" t="s">
        <v>28</v>
      </c>
      <c r="E86" s="12" t="s">
        <v>560</v>
      </c>
      <c r="F86" s="12" t="s">
        <v>561</v>
      </c>
      <c r="G86" s="12" t="s">
        <v>470</v>
      </c>
      <c r="H86" s="12" t="s">
        <v>562</v>
      </c>
      <c r="I86" s="12" t="s">
        <v>86</v>
      </c>
      <c r="J86" s="8" t="s">
        <v>160</v>
      </c>
      <c r="K86" s="8" t="s">
        <v>129</v>
      </c>
    </row>
    <row r="87" customFormat="false" ht="15" hidden="false" customHeight="true" outlineLevel="0" collapsed="false">
      <c r="A87" s="12" t="s">
        <v>563</v>
      </c>
      <c r="B87" s="12" t="s">
        <v>90</v>
      </c>
      <c r="C87" s="12" t="s">
        <v>91</v>
      </c>
      <c r="D87" s="12" t="s">
        <v>30</v>
      </c>
      <c r="E87" s="12" t="s">
        <v>556</v>
      </c>
      <c r="F87" s="12" t="s">
        <v>564</v>
      </c>
      <c r="G87" s="12" t="s">
        <v>290</v>
      </c>
      <c r="H87" s="12" t="s">
        <v>565</v>
      </c>
      <c r="I87" s="12" t="s">
        <v>86</v>
      </c>
      <c r="J87" s="8" t="s">
        <v>96</v>
      </c>
      <c r="K87" s="8" t="s">
        <v>129</v>
      </c>
    </row>
    <row r="88" customFormat="false" ht="34.5" hidden="false" customHeight="true" outlineLevel="0" collapsed="false">
      <c r="A88" s="12" t="s">
        <v>566</v>
      </c>
      <c r="B88" s="12" t="s">
        <v>115</v>
      </c>
      <c r="C88" s="12" t="s">
        <v>116</v>
      </c>
      <c r="D88" s="12" t="s">
        <v>30</v>
      </c>
      <c r="E88" s="12" t="s">
        <v>567</v>
      </c>
      <c r="F88" s="12" t="s">
        <v>568</v>
      </c>
      <c r="G88" s="12" t="s">
        <v>569</v>
      </c>
      <c r="H88" s="12" t="s">
        <v>570</v>
      </c>
      <c r="I88" s="12" t="s">
        <v>265</v>
      </c>
      <c r="J88" s="8" t="s">
        <v>121</v>
      </c>
      <c r="K88" s="8" t="s">
        <v>129</v>
      </c>
    </row>
    <row r="89" customFormat="false" ht="15" hidden="false" customHeight="true" outlineLevel="0" collapsed="false">
      <c r="A89" s="12" t="s">
        <v>571</v>
      </c>
      <c r="B89" s="12" t="s">
        <v>572</v>
      </c>
      <c r="C89" s="12" t="s">
        <v>173</v>
      </c>
      <c r="D89" s="12" t="s">
        <v>30</v>
      </c>
      <c r="E89" s="12" t="s">
        <v>183</v>
      </c>
      <c r="F89" s="12" t="s">
        <v>164</v>
      </c>
      <c r="G89" s="12" t="s">
        <v>165</v>
      </c>
      <c r="H89" s="12" t="s">
        <v>573</v>
      </c>
      <c r="I89" s="12" t="s">
        <v>86</v>
      </c>
      <c r="J89" s="8" t="s">
        <v>178</v>
      </c>
      <c r="K89" s="8" t="s">
        <v>88</v>
      </c>
    </row>
    <row r="90" customFormat="false" ht="15" hidden="false" customHeight="true" outlineLevel="0" collapsed="false">
      <c r="A90" s="12" t="s">
        <v>574</v>
      </c>
      <c r="B90" s="12" t="s">
        <v>90</v>
      </c>
      <c r="C90" s="12" t="s">
        <v>91</v>
      </c>
      <c r="D90" s="12" t="s">
        <v>30</v>
      </c>
      <c r="E90" s="12" t="s">
        <v>575</v>
      </c>
      <c r="F90" s="12" t="s">
        <v>224</v>
      </c>
      <c r="G90" s="12" t="s">
        <v>165</v>
      </c>
      <c r="H90" s="12" t="s">
        <v>576</v>
      </c>
      <c r="I90" s="12" t="s">
        <v>86</v>
      </c>
      <c r="J90" s="8" t="s">
        <v>96</v>
      </c>
      <c r="K90" s="8" t="s">
        <v>52</v>
      </c>
    </row>
    <row r="91" customFormat="false" ht="34.5" hidden="false" customHeight="true" outlineLevel="0" collapsed="false">
      <c r="A91" s="12" t="s">
        <v>577</v>
      </c>
      <c r="B91" s="12" t="s">
        <v>44</v>
      </c>
      <c r="C91" s="12" t="s">
        <v>45</v>
      </c>
      <c r="D91" s="12" t="s">
        <v>25</v>
      </c>
      <c r="E91" s="12" t="s">
        <v>578</v>
      </c>
      <c r="F91" s="12" t="s">
        <v>579</v>
      </c>
      <c r="G91" s="12" t="s">
        <v>580</v>
      </c>
      <c r="H91" s="12" t="s">
        <v>581</v>
      </c>
      <c r="I91" s="12" t="s">
        <v>78</v>
      </c>
      <c r="J91" s="8" t="s">
        <v>51</v>
      </c>
      <c r="K91" s="8" t="s">
        <v>501</v>
      </c>
    </row>
    <row r="92" customFormat="false" ht="15" hidden="false" customHeight="true" outlineLevel="0" collapsed="false">
      <c r="A92" s="12" t="s">
        <v>582</v>
      </c>
      <c r="B92" s="12" t="s">
        <v>90</v>
      </c>
      <c r="C92" s="12" t="s">
        <v>91</v>
      </c>
      <c r="D92" s="12" t="s">
        <v>28</v>
      </c>
      <c r="E92" s="12" t="s">
        <v>319</v>
      </c>
      <c r="F92" s="12" t="s">
        <v>126</v>
      </c>
      <c r="G92" s="12" t="s">
        <v>119</v>
      </c>
      <c r="H92" s="12" t="s">
        <v>583</v>
      </c>
      <c r="I92" s="12" t="s">
        <v>86</v>
      </c>
      <c r="J92" s="8" t="s">
        <v>96</v>
      </c>
      <c r="K92" s="8" t="s">
        <v>322</v>
      </c>
    </row>
    <row r="93" customFormat="false" ht="23.25" hidden="false" customHeight="true" outlineLevel="0" collapsed="false">
      <c r="A93" s="12" t="s">
        <v>584</v>
      </c>
      <c r="B93" s="12" t="s">
        <v>90</v>
      </c>
      <c r="C93" s="12" t="s">
        <v>91</v>
      </c>
      <c r="D93" s="12" t="s">
        <v>24</v>
      </c>
      <c r="E93" s="12" t="s">
        <v>585</v>
      </c>
      <c r="F93" s="12" t="s">
        <v>586</v>
      </c>
      <c r="G93" s="12" t="s">
        <v>587</v>
      </c>
      <c r="H93" s="12" t="s">
        <v>588</v>
      </c>
      <c r="I93" s="12" t="s">
        <v>472</v>
      </c>
      <c r="J93" s="8" t="s">
        <v>96</v>
      </c>
      <c r="K93" s="8" t="s">
        <v>501</v>
      </c>
    </row>
    <row r="94" customFormat="false" ht="15" hidden="false" customHeight="true" outlineLevel="0" collapsed="false">
      <c r="A94" s="12" t="s">
        <v>589</v>
      </c>
      <c r="B94" s="12" t="s">
        <v>590</v>
      </c>
      <c r="C94" s="12" t="s">
        <v>591</v>
      </c>
      <c r="D94" s="12" t="s">
        <v>23</v>
      </c>
      <c r="E94" s="12" t="s">
        <v>592</v>
      </c>
      <c r="F94" s="12" t="s">
        <v>593</v>
      </c>
      <c r="G94" s="12" t="s">
        <v>594</v>
      </c>
      <c r="H94" s="12" t="s">
        <v>595</v>
      </c>
      <c r="I94" s="12" t="s">
        <v>50</v>
      </c>
      <c r="J94" s="8" t="s">
        <v>596</v>
      </c>
      <c r="K94" s="8" t="s">
        <v>597</v>
      </c>
    </row>
    <row r="95" customFormat="false" ht="15" hidden="false" customHeight="true" outlineLevel="0" collapsed="false">
      <c r="A95" s="12" t="s">
        <v>598</v>
      </c>
      <c r="B95" s="12" t="s">
        <v>590</v>
      </c>
      <c r="C95" s="12" t="s">
        <v>591</v>
      </c>
      <c r="D95" s="12" t="s">
        <v>30</v>
      </c>
      <c r="E95" s="12" t="s">
        <v>599</v>
      </c>
      <c r="F95" s="12" t="s">
        <v>600</v>
      </c>
      <c r="G95" s="12" t="s">
        <v>601</v>
      </c>
      <c r="H95" s="12" t="s">
        <v>595</v>
      </c>
      <c r="I95" s="12" t="s">
        <v>50</v>
      </c>
      <c r="J95" s="8" t="s">
        <v>596</v>
      </c>
      <c r="K95" s="8" t="s">
        <v>597</v>
      </c>
    </row>
    <row r="96" customFormat="false" ht="34.5" hidden="false" customHeight="true" outlineLevel="0" collapsed="false">
      <c r="A96" s="12" t="s">
        <v>602</v>
      </c>
      <c r="B96" s="12" t="s">
        <v>90</v>
      </c>
      <c r="C96" s="12" t="s">
        <v>91</v>
      </c>
      <c r="D96" s="12" t="s">
        <v>30</v>
      </c>
      <c r="E96" s="12" t="s">
        <v>603</v>
      </c>
      <c r="F96" s="12" t="s">
        <v>604</v>
      </c>
      <c r="G96" s="12" t="s">
        <v>605</v>
      </c>
      <c r="H96" s="12" t="s">
        <v>606</v>
      </c>
      <c r="I96" s="12" t="s">
        <v>78</v>
      </c>
      <c r="J96" s="8" t="s">
        <v>96</v>
      </c>
      <c r="K96" s="8" t="s">
        <v>52</v>
      </c>
    </row>
    <row r="97" customFormat="false" ht="34.5" hidden="false" customHeight="true" outlineLevel="0" collapsed="false">
      <c r="A97" s="12" t="s">
        <v>607</v>
      </c>
      <c r="B97" s="12" t="s">
        <v>90</v>
      </c>
      <c r="C97" s="12" t="s">
        <v>91</v>
      </c>
      <c r="D97" s="12" t="s">
        <v>24</v>
      </c>
      <c r="E97" s="12" t="s">
        <v>608</v>
      </c>
      <c r="F97" s="12" t="s">
        <v>609</v>
      </c>
      <c r="G97" s="12" t="s">
        <v>263</v>
      </c>
      <c r="H97" s="12" t="s">
        <v>610</v>
      </c>
      <c r="I97" s="12" t="s">
        <v>50</v>
      </c>
      <c r="J97" s="8" t="s">
        <v>96</v>
      </c>
      <c r="K97" s="8" t="s">
        <v>129</v>
      </c>
    </row>
    <row r="98" customFormat="false" ht="34.5" hidden="false" customHeight="true" outlineLevel="0" collapsed="false">
      <c r="A98" s="12" t="s">
        <v>611</v>
      </c>
      <c r="B98" s="12" t="s">
        <v>612</v>
      </c>
      <c r="C98" s="12" t="s">
        <v>613</v>
      </c>
      <c r="D98" s="12" t="s">
        <v>29</v>
      </c>
      <c r="E98" s="12" t="s">
        <v>614</v>
      </c>
      <c r="F98" s="12" t="s">
        <v>615</v>
      </c>
      <c r="G98" s="12" t="s">
        <v>616</v>
      </c>
      <c r="H98" s="12" t="s">
        <v>617</v>
      </c>
      <c r="I98" s="12" t="s">
        <v>78</v>
      </c>
      <c r="J98" s="8" t="s">
        <v>618</v>
      </c>
      <c r="K98" s="8" t="s">
        <v>222</v>
      </c>
    </row>
    <row r="99" customFormat="false" ht="34.5" hidden="false" customHeight="true" outlineLevel="0" collapsed="false">
      <c r="A99" s="12" t="s">
        <v>619</v>
      </c>
      <c r="B99" s="12" t="s">
        <v>311</v>
      </c>
      <c r="C99" s="12" t="s">
        <v>312</v>
      </c>
      <c r="D99" s="12" t="s">
        <v>31</v>
      </c>
      <c r="E99" s="12" t="s">
        <v>620</v>
      </c>
      <c r="F99" s="12" t="s">
        <v>621</v>
      </c>
      <c r="G99" s="12" t="s">
        <v>622</v>
      </c>
      <c r="H99" s="12" t="s">
        <v>623</v>
      </c>
      <c r="I99" s="12" t="s">
        <v>78</v>
      </c>
      <c r="J99" s="8" t="s">
        <v>317</v>
      </c>
      <c r="K99" s="8" t="s">
        <v>222</v>
      </c>
    </row>
    <row r="100" customFormat="false" ht="23.25" hidden="false" customHeight="true" outlineLevel="0" collapsed="false">
      <c r="A100" s="12" t="s">
        <v>624</v>
      </c>
      <c r="B100" s="12" t="s">
        <v>44</v>
      </c>
      <c r="C100" s="12" t="s">
        <v>45</v>
      </c>
      <c r="D100" s="12" t="s">
        <v>25</v>
      </c>
      <c r="E100" s="12" t="s">
        <v>625</v>
      </c>
      <c r="F100" s="12" t="s">
        <v>626</v>
      </c>
      <c r="G100" s="12" t="s">
        <v>627</v>
      </c>
      <c r="H100" s="12" t="s">
        <v>628</v>
      </c>
      <c r="I100" s="12" t="s">
        <v>265</v>
      </c>
      <c r="J100" s="8" t="s">
        <v>51</v>
      </c>
      <c r="K100" s="8" t="s">
        <v>129</v>
      </c>
    </row>
    <row r="101" customFormat="false" ht="34.5" hidden="false" customHeight="true" outlineLevel="0" collapsed="false">
      <c r="A101" s="12" t="s">
        <v>629</v>
      </c>
      <c r="B101" s="12" t="s">
        <v>44</v>
      </c>
      <c r="C101" s="12" t="s">
        <v>45</v>
      </c>
      <c r="D101" s="12" t="s">
        <v>30</v>
      </c>
      <c r="E101" s="12" t="s">
        <v>630</v>
      </c>
      <c r="F101" s="12" t="s">
        <v>631</v>
      </c>
      <c r="G101" s="12" t="s">
        <v>632</v>
      </c>
      <c r="H101" s="12" t="s">
        <v>633</v>
      </c>
      <c r="I101" s="12" t="s">
        <v>78</v>
      </c>
      <c r="J101" s="8" t="s">
        <v>51</v>
      </c>
      <c r="K101" s="8" t="s">
        <v>129</v>
      </c>
    </row>
    <row r="102" customFormat="false" ht="15" hidden="false" customHeight="true" outlineLevel="0" collapsed="false">
      <c r="A102" s="12" t="s">
        <v>634</v>
      </c>
      <c r="B102" s="12" t="s">
        <v>635</v>
      </c>
      <c r="C102" s="12" t="s">
        <v>636</v>
      </c>
      <c r="D102" s="12" t="s">
        <v>23</v>
      </c>
      <c r="E102" s="12" t="s">
        <v>637</v>
      </c>
      <c r="F102" s="12" t="s">
        <v>638</v>
      </c>
      <c r="G102" s="12" t="s">
        <v>639</v>
      </c>
      <c r="H102" s="12" t="s">
        <v>640</v>
      </c>
      <c r="I102" s="12" t="s">
        <v>58</v>
      </c>
      <c r="J102" s="8" t="s">
        <v>641</v>
      </c>
      <c r="K102" s="8" t="s">
        <v>642</v>
      </c>
    </row>
    <row r="103" customFormat="false" ht="23.25" hidden="false" customHeight="true" outlineLevel="0" collapsed="false">
      <c r="A103" s="12" t="s">
        <v>643</v>
      </c>
      <c r="B103" s="12" t="s">
        <v>90</v>
      </c>
      <c r="C103" s="12" t="s">
        <v>91</v>
      </c>
      <c r="D103" s="12" t="s">
        <v>29</v>
      </c>
      <c r="E103" s="12" t="s">
        <v>644</v>
      </c>
      <c r="F103" s="12" t="s">
        <v>645</v>
      </c>
      <c r="G103" s="12" t="s">
        <v>646</v>
      </c>
      <c r="H103" s="12" t="s">
        <v>647</v>
      </c>
      <c r="I103" s="12" t="s">
        <v>78</v>
      </c>
      <c r="J103" s="8" t="s">
        <v>96</v>
      </c>
      <c r="K103" s="8" t="s">
        <v>222</v>
      </c>
    </row>
    <row r="104" customFormat="false" ht="34.5" hidden="false" customHeight="true" outlineLevel="0" collapsed="false">
      <c r="A104" s="12" t="s">
        <v>648</v>
      </c>
      <c r="B104" s="12" t="s">
        <v>90</v>
      </c>
      <c r="C104" s="12" t="s">
        <v>91</v>
      </c>
      <c r="D104" s="12" t="s">
        <v>24</v>
      </c>
      <c r="E104" s="12" t="s">
        <v>649</v>
      </c>
      <c r="F104" s="12" t="s">
        <v>650</v>
      </c>
      <c r="G104" s="12" t="s">
        <v>651</v>
      </c>
      <c r="H104" s="12" t="s">
        <v>652</v>
      </c>
      <c r="I104" s="12" t="s">
        <v>265</v>
      </c>
      <c r="J104" s="8" t="s">
        <v>96</v>
      </c>
      <c r="K104" s="8" t="s">
        <v>129</v>
      </c>
    </row>
    <row r="105" customFormat="false" ht="23.25" hidden="false" customHeight="true" outlineLevel="0" collapsed="false">
      <c r="A105" s="12" t="s">
        <v>653</v>
      </c>
      <c r="B105" s="12" t="s">
        <v>44</v>
      </c>
      <c r="C105" s="12" t="s">
        <v>45</v>
      </c>
      <c r="D105" s="12" t="s">
        <v>24</v>
      </c>
      <c r="E105" s="12" t="s">
        <v>654</v>
      </c>
      <c r="F105" s="12" t="s">
        <v>655</v>
      </c>
      <c r="G105" s="12" t="s">
        <v>656</v>
      </c>
      <c r="H105" s="12" t="s">
        <v>657</v>
      </c>
      <c r="I105" s="12" t="s">
        <v>103</v>
      </c>
      <c r="J105" s="8" t="s">
        <v>51</v>
      </c>
      <c r="K105" s="8" t="s">
        <v>52</v>
      </c>
    </row>
    <row r="106" customFormat="false" ht="15" hidden="false" customHeight="true" outlineLevel="0" collapsed="false">
      <c r="A106" s="12" t="s">
        <v>658</v>
      </c>
      <c r="B106" s="12" t="s">
        <v>385</v>
      </c>
      <c r="C106" s="12" t="s">
        <v>386</v>
      </c>
      <c r="D106" s="12" t="s">
        <v>28</v>
      </c>
      <c r="E106" s="12" t="s">
        <v>659</v>
      </c>
      <c r="F106" s="12" t="s">
        <v>660</v>
      </c>
      <c r="G106" s="12" t="s">
        <v>661</v>
      </c>
      <c r="H106" s="12" t="s">
        <v>662</v>
      </c>
      <c r="I106" s="12" t="s">
        <v>86</v>
      </c>
      <c r="J106" s="8" t="s">
        <v>391</v>
      </c>
      <c r="K106" s="8" t="s">
        <v>501</v>
      </c>
    </row>
    <row r="107" customFormat="false" ht="34.5" hidden="false" customHeight="true" outlineLevel="0" collapsed="false">
      <c r="A107" s="12" t="s">
        <v>663</v>
      </c>
      <c r="B107" s="12" t="s">
        <v>294</v>
      </c>
      <c r="C107" s="12" t="s">
        <v>295</v>
      </c>
      <c r="D107" s="12" t="s">
        <v>25</v>
      </c>
      <c r="E107" s="12" t="s">
        <v>664</v>
      </c>
      <c r="F107" s="12" t="s">
        <v>665</v>
      </c>
      <c r="G107" s="12" t="s">
        <v>666</v>
      </c>
      <c r="H107" s="12" t="s">
        <v>667</v>
      </c>
      <c r="I107" s="12" t="s">
        <v>265</v>
      </c>
      <c r="J107" s="8" t="s">
        <v>298</v>
      </c>
      <c r="K107" s="8" t="s">
        <v>129</v>
      </c>
    </row>
    <row r="108" customFormat="false" ht="34.5" hidden="false" customHeight="true" outlineLevel="0" collapsed="false">
      <c r="A108" s="12" t="s">
        <v>668</v>
      </c>
      <c r="B108" s="12" t="s">
        <v>669</v>
      </c>
      <c r="C108" s="12" t="s">
        <v>419</v>
      </c>
      <c r="D108" s="12" t="s">
        <v>31</v>
      </c>
      <c r="E108" s="12" t="s">
        <v>670</v>
      </c>
      <c r="F108" s="12" t="s">
        <v>671</v>
      </c>
      <c r="G108" s="12" t="s">
        <v>672</v>
      </c>
      <c r="H108" s="12" t="s">
        <v>673</v>
      </c>
      <c r="I108" s="12" t="s">
        <v>78</v>
      </c>
      <c r="J108" s="8" t="s">
        <v>424</v>
      </c>
      <c r="K108" s="8" t="s">
        <v>222</v>
      </c>
    </row>
    <row r="109" customFormat="false" ht="34.5" hidden="false" customHeight="true" outlineLevel="0" collapsed="false">
      <c r="A109" s="12" t="s">
        <v>674</v>
      </c>
      <c r="B109" s="12" t="s">
        <v>131</v>
      </c>
      <c r="C109" s="12" t="s">
        <v>132</v>
      </c>
      <c r="D109" s="12" t="s">
        <v>25</v>
      </c>
      <c r="E109" s="12" t="s">
        <v>675</v>
      </c>
      <c r="F109" s="12" t="s">
        <v>676</v>
      </c>
      <c r="G109" s="12" t="s">
        <v>677</v>
      </c>
      <c r="H109" s="12" t="s">
        <v>678</v>
      </c>
      <c r="I109" s="12" t="s">
        <v>265</v>
      </c>
      <c r="J109" s="8" t="s">
        <v>137</v>
      </c>
      <c r="K109" s="8" t="s">
        <v>52</v>
      </c>
    </row>
    <row r="110" customFormat="false" ht="34.5" hidden="false" customHeight="true" outlineLevel="0" collapsed="false">
      <c r="A110" s="12" t="s">
        <v>679</v>
      </c>
      <c r="B110" s="12" t="s">
        <v>329</v>
      </c>
      <c r="C110" s="12" t="s">
        <v>330</v>
      </c>
      <c r="D110" s="12" t="s">
        <v>26</v>
      </c>
      <c r="E110" s="12" t="s">
        <v>680</v>
      </c>
      <c r="F110" s="12" t="s">
        <v>681</v>
      </c>
      <c r="G110" s="12" t="s">
        <v>682</v>
      </c>
      <c r="H110" s="12" t="s">
        <v>683</v>
      </c>
      <c r="I110" s="12" t="s">
        <v>684</v>
      </c>
      <c r="J110" s="8" t="s">
        <v>335</v>
      </c>
      <c r="K110" s="8" t="s">
        <v>161</v>
      </c>
    </row>
    <row r="111" customFormat="false" ht="15" hidden="false" customHeight="true" outlineLevel="0" collapsed="false">
      <c r="A111" s="12" t="s">
        <v>685</v>
      </c>
      <c r="B111" s="12" t="s">
        <v>541</v>
      </c>
      <c r="C111" s="12" t="s">
        <v>542</v>
      </c>
      <c r="D111" s="12" t="s">
        <v>28</v>
      </c>
      <c r="E111" s="12" t="s">
        <v>169</v>
      </c>
      <c r="F111" s="12" t="s">
        <v>126</v>
      </c>
      <c r="G111" s="12" t="s">
        <v>119</v>
      </c>
      <c r="H111" s="12" t="s">
        <v>686</v>
      </c>
      <c r="I111" s="12" t="s">
        <v>86</v>
      </c>
      <c r="J111" s="8" t="s">
        <v>545</v>
      </c>
      <c r="K111" s="8" t="s">
        <v>52</v>
      </c>
    </row>
    <row r="112" customFormat="false" ht="34.5" hidden="false" customHeight="true" outlineLevel="0" collapsed="false">
      <c r="A112" s="12" t="s">
        <v>687</v>
      </c>
      <c r="B112" s="12" t="s">
        <v>294</v>
      </c>
      <c r="C112" s="12" t="s">
        <v>295</v>
      </c>
      <c r="D112" s="12" t="s">
        <v>31</v>
      </c>
      <c r="E112" s="12" t="s">
        <v>688</v>
      </c>
      <c r="F112" s="12" t="s">
        <v>689</v>
      </c>
      <c r="G112" s="12" t="s">
        <v>690</v>
      </c>
      <c r="H112" s="12" t="s">
        <v>691</v>
      </c>
      <c r="I112" s="12" t="s">
        <v>78</v>
      </c>
      <c r="J112" s="8" t="s">
        <v>298</v>
      </c>
      <c r="K112" s="8" t="s">
        <v>222</v>
      </c>
    </row>
    <row r="113" customFormat="false" ht="23.25" hidden="false" customHeight="true" outlineLevel="0" collapsed="false">
      <c r="A113" s="12" t="s">
        <v>692</v>
      </c>
      <c r="B113" s="12" t="s">
        <v>44</v>
      </c>
      <c r="C113" s="12" t="s">
        <v>45</v>
      </c>
      <c r="D113" s="12" t="s">
        <v>24</v>
      </c>
      <c r="E113" s="12" t="s">
        <v>693</v>
      </c>
      <c r="F113" s="12" t="s">
        <v>694</v>
      </c>
      <c r="G113" s="12" t="s">
        <v>263</v>
      </c>
      <c r="H113" s="12" t="s">
        <v>695</v>
      </c>
      <c r="I113" s="12" t="s">
        <v>86</v>
      </c>
      <c r="J113" s="8" t="s">
        <v>51</v>
      </c>
      <c r="K113" s="8" t="s">
        <v>52</v>
      </c>
    </row>
    <row r="114" customFormat="false" ht="23.25" hidden="false" customHeight="true" outlineLevel="0" collapsed="false">
      <c r="A114" s="12" t="s">
        <v>696</v>
      </c>
      <c r="B114" s="12" t="s">
        <v>90</v>
      </c>
      <c r="C114" s="12" t="s">
        <v>91</v>
      </c>
      <c r="D114" s="12" t="s">
        <v>30</v>
      </c>
      <c r="E114" s="12" t="s">
        <v>697</v>
      </c>
      <c r="F114" s="12" t="s">
        <v>698</v>
      </c>
      <c r="G114" s="12" t="s">
        <v>699</v>
      </c>
      <c r="H114" s="12" t="s">
        <v>700</v>
      </c>
      <c r="I114" s="12" t="s">
        <v>78</v>
      </c>
      <c r="J114" s="8" t="s">
        <v>96</v>
      </c>
      <c r="K114" s="8" t="s">
        <v>222</v>
      </c>
    </row>
    <row r="115" customFormat="false" ht="15" hidden="false" customHeight="true" outlineLevel="0" collapsed="false">
      <c r="A115" s="12" t="s">
        <v>701</v>
      </c>
      <c r="B115" s="12" t="s">
        <v>115</v>
      </c>
      <c r="C115" s="12" t="s">
        <v>116</v>
      </c>
      <c r="D115" s="12" t="s">
        <v>28</v>
      </c>
      <c r="E115" s="12" t="s">
        <v>702</v>
      </c>
      <c r="F115" s="12" t="s">
        <v>703</v>
      </c>
      <c r="G115" s="12" t="s">
        <v>704</v>
      </c>
      <c r="H115" s="12" t="s">
        <v>705</v>
      </c>
      <c r="I115" s="12" t="s">
        <v>58</v>
      </c>
      <c r="J115" s="8" t="s">
        <v>121</v>
      </c>
      <c r="K115" s="8" t="s">
        <v>146</v>
      </c>
    </row>
    <row r="116" customFormat="false" ht="34.5" hidden="false" customHeight="true" outlineLevel="0" collapsed="false">
      <c r="A116" s="12" t="s">
        <v>701</v>
      </c>
      <c r="B116" s="12" t="s">
        <v>90</v>
      </c>
      <c r="C116" s="12" t="s">
        <v>91</v>
      </c>
      <c r="D116" s="12" t="s">
        <v>30</v>
      </c>
      <c r="E116" s="12" t="s">
        <v>706</v>
      </c>
      <c r="F116" s="12" t="s">
        <v>707</v>
      </c>
      <c r="G116" s="12" t="s">
        <v>708</v>
      </c>
      <c r="H116" s="12" t="s">
        <v>709</v>
      </c>
      <c r="I116" s="12" t="s">
        <v>78</v>
      </c>
      <c r="J116" s="8" t="s">
        <v>96</v>
      </c>
      <c r="K116" s="8" t="s">
        <v>129</v>
      </c>
    </row>
    <row r="117" customFormat="false" ht="15" hidden="false" customHeight="true" outlineLevel="0" collapsed="false">
      <c r="A117" s="12" t="s">
        <v>701</v>
      </c>
      <c r="B117" s="12" t="s">
        <v>97</v>
      </c>
      <c r="C117" s="12" t="s">
        <v>98</v>
      </c>
      <c r="D117" s="12" t="s">
        <v>28</v>
      </c>
      <c r="E117" s="12" t="s">
        <v>710</v>
      </c>
      <c r="F117" s="12" t="s">
        <v>711</v>
      </c>
      <c r="G117" s="12" t="s">
        <v>712</v>
      </c>
      <c r="H117" s="12" t="s">
        <v>713</v>
      </c>
      <c r="I117" s="12" t="s">
        <v>103</v>
      </c>
      <c r="J117" s="8" t="s">
        <v>104</v>
      </c>
      <c r="K117" s="8" t="s">
        <v>52</v>
      </c>
    </row>
    <row r="118" customFormat="false" ht="15" hidden="false" customHeight="true" outlineLevel="0" collapsed="false">
      <c r="A118" s="12" t="s">
        <v>714</v>
      </c>
      <c r="B118" s="12" t="s">
        <v>90</v>
      </c>
      <c r="C118" s="12" t="s">
        <v>91</v>
      </c>
      <c r="D118" s="12" t="s">
        <v>30</v>
      </c>
      <c r="E118" s="12" t="s">
        <v>715</v>
      </c>
      <c r="F118" s="12" t="s">
        <v>716</v>
      </c>
      <c r="G118" s="12" t="s">
        <v>717</v>
      </c>
      <c r="H118" s="12" t="s">
        <v>718</v>
      </c>
      <c r="I118" s="12" t="s">
        <v>103</v>
      </c>
      <c r="J118" s="8" t="s">
        <v>96</v>
      </c>
      <c r="K118" s="8" t="s">
        <v>129</v>
      </c>
    </row>
    <row r="119" customFormat="false" ht="23.25" hidden="false" customHeight="true" outlineLevel="0" collapsed="false">
      <c r="A119" s="12" t="s">
        <v>719</v>
      </c>
      <c r="B119" s="12" t="s">
        <v>253</v>
      </c>
      <c r="C119" s="12" t="s">
        <v>254</v>
      </c>
      <c r="D119" s="12" t="s">
        <v>23</v>
      </c>
      <c r="E119" s="12" t="s">
        <v>720</v>
      </c>
      <c r="F119" s="12" t="s">
        <v>721</v>
      </c>
      <c r="G119" s="12" t="s">
        <v>722</v>
      </c>
      <c r="H119" s="12" t="s">
        <v>723</v>
      </c>
      <c r="I119" s="12" t="s">
        <v>50</v>
      </c>
      <c r="J119" s="8" t="s">
        <v>259</v>
      </c>
      <c r="K119" s="8" t="s">
        <v>211</v>
      </c>
    </row>
    <row r="120" customFormat="false" ht="23.25" hidden="false" customHeight="true" outlineLevel="0" collapsed="false">
      <c r="A120" s="12" t="s">
        <v>724</v>
      </c>
      <c r="B120" s="12" t="s">
        <v>725</v>
      </c>
      <c r="C120" s="12" t="s">
        <v>726</v>
      </c>
      <c r="D120" s="12" t="s">
        <v>29</v>
      </c>
      <c r="E120" s="12" t="s">
        <v>727</v>
      </c>
      <c r="F120" s="12" t="s">
        <v>728</v>
      </c>
      <c r="G120" s="12" t="s">
        <v>729</v>
      </c>
      <c r="H120" s="12" t="s">
        <v>730</v>
      </c>
      <c r="I120" s="12" t="s">
        <v>78</v>
      </c>
      <c r="K120" s="8" t="s">
        <v>129</v>
      </c>
    </row>
    <row r="121" customFormat="false" ht="34.5" hidden="false" customHeight="true" outlineLevel="0" collapsed="false">
      <c r="A121" s="12" t="s">
        <v>731</v>
      </c>
      <c r="B121" s="12" t="s">
        <v>44</v>
      </c>
      <c r="C121" s="12" t="s">
        <v>45</v>
      </c>
      <c r="D121" s="12" t="s">
        <v>29</v>
      </c>
      <c r="E121" s="12" t="s">
        <v>732</v>
      </c>
      <c r="F121" s="12" t="s">
        <v>733</v>
      </c>
      <c r="G121" s="12" t="s">
        <v>263</v>
      </c>
      <c r="H121" s="12" t="s">
        <v>734</v>
      </c>
      <c r="I121" s="12" t="s">
        <v>78</v>
      </c>
      <c r="J121" s="8" t="s">
        <v>51</v>
      </c>
      <c r="K121" s="8" t="s">
        <v>52</v>
      </c>
    </row>
    <row r="122" customFormat="false" ht="23.25" hidden="false" customHeight="true" outlineLevel="0" collapsed="false">
      <c r="A122" s="12" t="s">
        <v>735</v>
      </c>
      <c r="B122" s="12" t="s">
        <v>736</v>
      </c>
      <c r="C122" s="12" t="s">
        <v>98</v>
      </c>
      <c r="D122" s="12" t="s">
        <v>24</v>
      </c>
      <c r="E122" s="12" t="s">
        <v>737</v>
      </c>
      <c r="F122" s="12" t="s">
        <v>738</v>
      </c>
      <c r="G122" s="12" t="s">
        <v>739</v>
      </c>
      <c r="H122" s="12" t="s">
        <v>740</v>
      </c>
      <c r="I122" s="12" t="s">
        <v>50</v>
      </c>
      <c r="J122" s="8" t="s">
        <v>104</v>
      </c>
      <c r="K122" s="8" t="s">
        <v>52</v>
      </c>
    </row>
    <row r="123" customFormat="false" ht="15" hidden="false" customHeight="true" outlineLevel="0" collapsed="false">
      <c r="A123" s="12" t="s">
        <v>741</v>
      </c>
      <c r="B123" s="12" t="s">
        <v>572</v>
      </c>
      <c r="C123" s="12" t="s">
        <v>173</v>
      </c>
      <c r="D123" s="12" t="s">
        <v>30</v>
      </c>
      <c r="E123" s="12" t="s">
        <v>288</v>
      </c>
      <c r="F123" s="12" t="s">
        <v>742</v>
      </c>
      <c r="G123" s="12" t="s">
        <v>165</v>
      </c>
      <c r="H123" s="12" t="s">
        <v>743</v>
      </c>
      <c r="I123" s="12" t="s">
        <v>86</v>
      </c>
      <c r="J123" s="8" t="s">
        <v>178</v>
      </c>
      <c r="K123" s="8" t="s">
        <v>161</v>
      </c>
    </row>
    <row r="124" customFormat="false" ht="15" hidden="false" customHeight="true" outlineLevel="0" collapsed="false">
      <c r="A124" s="12" t="s">
        <v>744</v>
      </c>
      <c r="B124" s="12" t="s">
        <v>311</v>
      </c>
      <c r="C124" s="12" t="s">
        <v>312</v>
      </c>
      <c r="D124" s="12" t="s">
        <v>30</v>
      </c>
      <c r="E124" s="12" t="s">
        <v>745</v>
      </c>
      <c r="F124" s="12" t="s">
        <v>746</v>
      </c>
      <c r="G124" s="12" t="s">
        <v>290</v>
      </c>
      <c r="H124" s="12" t="s">
        <v>747</v>
      </c>
      <c r="I124" s="12" t="s">
        <v>103</v>
      </c>
      <c r="J124" s="8" t="s">
        <v>317</v>
      </c>
      <c r="K124" s="8" t="s">
        <v>129</v>
      </c>
    </row>
    <row r="125" customFormat="false" ht="34.5" hidden="false" customHeight="true" outlineLevel="0" collapsed="false">
      <c r="A125" s="12" t="s">
        <v>748</v>
      </c>
      <c r="B125" s="12" t="s">
        <v>90</v>
      </c>
      <c r="C125" s="12" t="s">
        <v>91</v>
      </c>
      <c r="D125" s="12" t="s">
        <v>31</v>
      </c>
      <c r="E125" s="12" t="s">
        <v>749</v>
      </c>
      <c r="F125" s="12" t="s">
        <v>750</v>
      </c>
      <c r="G125" s="12" t="s">
        <v>751</v>
      </c>
      <c r="H125" s="12" t="s">
        <v>752</v>
      </c>
      <c r="I125" s="12" t="s">
        <v>78</v>
      </c>
      <c r="J125" s="8" t="s">
        <v>96</v>
      </c>
      <c r="K125" s="8" t="s">
        <v>222</v>
      </c>
    </row>
    <row r="126" customFormat="false" ht="34.5" hidden="false" customHeight="true" outlineLevel="0" collapsed="false">
      <c r="A126" s="12" t="s">
        <v>753</v>
      </c>
      <c r="B126" s="12" t="s">
        <v>329</v>
      </c>
      <c r="C126" s="12" t="s">
        <v>330</v>
      </c>
      <c r="D126" s="12" t="s">
        <v>25</v>
      </c>
      <c r="E126" s="12" t="s">
        <v>754</v>
      </c>
      <c r="F126" s="12" t="s">
        <v>755</v>
      </c>
      <c r="G126" s="12" t="s">
        <v>756</v>
      </c>
      <c r="H126" s="12" t="s">
        <v>757</v>
      </c>
      <c r="I126" s="12" t="s">
        <v>265</v>
      </c>
      <c r="J126" s="8" t="s">
        <v>335</v>
      </c>
      <c r="K126" s="8" t="s">
        <v>129</v>
      </c>
    </row>
    <row r="127" customFormat="false" ht="15" hidden="false" customHeight="true" outlineLevel="0" collapsed="false">
      <c r="A127" s="12" t="s">
        <v>758</v>
      </c>
      <c r="B127" s="12" t="s">
        <v>187</v>
      </c>
      <c r="C127" s="12" t="s">
        <v>188</v>
      </c>
      <c r="D127" s="12" t="s">
        <v>31</v>
      </c>
      <c r="E127" s="12" t="s">
        <v>759</v>
      </c>
      <c r="F127" s="12" t="s">
        <v>760</v>
      </c>
      <c r="G127" s="12" t="s">
        <v>761</v>
      </c>
      <c r="H127" s="12" t="s">
        <v>762</v>
      </c>
      <c r="I127" s="12" t="s">
        <v>86</v>
      </c>
      <c r="J127" s="8" t="s">
        <v>192</v>
      </c>
      <c r="K127" s="8" t="s">
        <v>129</v>
      </c>
    </row>
    <row r="128" customFormat="false" ht="34.5" hidden="false" customHeight="true" outlineLevel="0" collapsed="false">
      <c r="A128" s="12" t="s">
        <v>763</v>
      </c>
      <c r="B128" s="12" t="s">
        <v>90</v>
      </c>
      <c r="C128" s="12" t="s">
        <v>91</v>
      </c>
      <c r="D128" s="12" t="s">
        <v>31</v>
      </c>
      <c r="E128" s="12" t="s">
        <v>764</v>
      </c>
      <c r="F128" s="12" t="s">
        <v>765</v>
      </c>
      <c r="G128" s="12" t="s">
        <v>766</v>
      </c>
      <c r="H128" s="12" t="s">
        <v>767</v>
      </c>
      <c r="I128" s="12" t="s">
        <v>78</v>
      </c>
      <c r="J128" s="8" t="s">
        <v>96</v>
      </c>
      <c r="K128" s="8" t="s">
        <v>222</v>
      </c>
    </row>
    <row r="129" customFormat="false" ht="15" hidden="false" customHeight="true" outlineLevel="0" collapsed="false">
      <c r="A129" s="12" t="s">
        <v>768</v>
      </c>
      <c r="B129" s="12" t="s">
        <v>294</v>
      </c>
      <c r="C129" s="12" t="s">
        <v>295</v>
      </c>
      <c r="D129" s="12" t="s">
        <v>26</v>
      </c>
      <c r="E129" s="12" t="s">
        <v>769</v>
      </c>
      <c r="F129" s="12" t="s">
        <v>770</v>
      </c>
      <c r="G129" s="12" t="s">
        <v>771</v>
      </c>
      <c r="H129" s="12" t="s">
        <v>772</v>
      </c>
      <c r="I129" s="12" t="s">
        <v>86</v>
      </c>
      <c r="J129" s="8" t="s">
        <v>298</v>
      </c>
      <c r="K129" s="8" t="s">
        <v>129</v>
      </c>
    </row>
    <row r="130" customFormat="false" ht="34.5" hidden="false" customHeight="true" outlineLevel="0" collapsed="false">
      <c r="A130" s="12" t="s">
        <v>773</v>
      </c>
      <c r="B130" s="12" t="s">
        <v>115</v>
      </c>
      <c r="C130" s="12" t="s">
        <v>116</v>
      </c>
      <c r="D130" s="12" t="s">
        <v>31</v>
      </c>
      <c r="E130" s="12" t="s">
        <v>774</v>
      </c>
      <c r="F130" s="12" t="s">
        <v>775</v>
      </c>
      <c r="G130" s="12" t="s">
        <v>776</v>
      </c>
      <c r="H130" s="12" t="s">
        <v>777</v>
      </c>
      <c r="I130" s="12" t="s">
        <v>50</v>
      </c>
      <c r="J130" s="8" t="s">
        <v>121</v>
      </c>
      <c r="K130" s="8" t="s">
        <v>52</v>
      </c>
    </row>
    <row r="131" customFormat="false" ht="15" hidden="false" customHeight="true" outlineLevel="0" collapsed="false">
      <c r="A131" s="12" t="s">
        <v>778</v>
      </c>
      <c r="B131" s="12" t="s">
        <v>779</v>
      </c>
      <c r="C131" s="12" t="s">
        <v>312</v>
      </c>
      <c r="D131" s="12" t="s">
        <v>30</v>
      </c>
      <c r="E131" s="12" t="s">
        <v>780</v>
      </c>
      <c r="F131" s="12" t="s">
        <v>557</v>
      </c>
      <c r="G131" s="12" t="s">
        <v>290</v>
      </c>
      <c r="H131" s="12" t="s">
        <v>781</v>
      </c>
      <c r="I131" s="12" t="s">
        <v>86</v>
      </c>
      <c r="J131" s="8" t="s">
        <v>317</v>
      </c>
      <c r="K131" s="8" t="s">
        <v>129</v>
      </c>
    </row>
    <row r="132" customFormat="false" ht="34.5" hidden="false" customHeight="true" outlineLevel="0" collapsed="false">
      <c r="A132" s="12" t="s">
        <v>782</v>
      </c>
      <c r="B132" s="12" t="s">
        <v>253</v>
      </c>
      <c r="C132" s="12" t="s">
        <v>254</v>
      </c>
      <c r="D132" s="12" t="s">
        <v>28</v>
      </c>
      <c r="E132" s="12" t="s">
        <v>783</v>
      </c>
      <c r="F132" s="12" t="s">
        <v>784</v>
      </c>
      <c r="G132" s="12" t="s">
        <v>263</v>
      </c>
      <c r="H132" s="12" t="s">
        <v>785</v>
      </c>
      <c r="I132" s="12" t="s">
        <v>78</v>
      </c>
      <c r="J132" s="8" t="s">
        <v>259</v>
      </c>
      <c r="K132" s="8" t="s">
        <v>129</v>
      </c>
    </row>
    <row r="133" customFormat="false" ht="23.25" hidden="false" customHeight="true" outlineLevel="0" collapsed="false">
      <c r="A133" s="12" t="s">
        <v>786</v>
      </c>
      <c r="B133" s="12" t="s">
        <v>44</v>
      </c>
      <c r="C133" s="12" t="s">
        <v>45</v>
      </c>
      <c r="D133" s="12" t="s">
        <v>25</v>
      </c>
      <c r="E133" s="12" t="s">
        <v>787</v>
      </c>
      <c r="F133" s="12" t="s">
        <v>788</v>
      </c>
      <c r="G133" s="12" t="s">
        <v>789</v>
      </c>
      <c r="H133" s="12" t="s">
        <v>790</v>
      </c>
      <c r="I133" s="12" t="s">
        <v>78</v>
      </c>
      <c r="J133" s="8" t="s">
        <v>51</v>
      </c>
      <c r="K133" s="8" t="s">
        <v>520</v>
      </c>
    </row>
    <row r="134" customFormat="false" ht="23.25" hidden="false" customHeight="true" outlineLevel="0" collapsed="false">
      <c r="A134" s="12" t="s">
        <v>791</v>
      </c>
      <c r="B134" s="12" t="s">
        <v>44</v>
      </c>
      <c r="C134" s="12" t="s">
        <v>45</v>
      </c>
      <c r="D134" s="12" t="s">
        <v>23</v>
      </c>
      <c r="E134" s="12" t="s">
        <v>792</v>
      </c>
      <c r="F134" s="12" t="s">
        <v>793</v>
      </c>
      <c r="G134" s="12" t="s">
        <v>794</v>
      </c>
      <c r="H134" s="12" t="s">
        <v>795</v>
      </c>
      <c r="I134" s="12" t="s">
        <v>50</v>
      </c>
      <c r="J134" s="8" t="s">
        <v>51</v>
      </c>
      <c r="K134" s="8" t="s">
        <v>52</v>
      </c>
    </row>
    <row r="135" customFormat="false" ht="34.5" hidden="false" customHeight="true" outlineLevel="0" collapsed="false">
      <c r="A135" s="12" t="s">
        <v>796</v>
      </c>
      <c r="B135" s="12" t="s">
        <v>90</v>
      </c>
      <c r="C135" s="12" t="s">
        <v>91</v>
      </c>
      <c r="D135" s="12" t="s">
        <v>26</v>
      </c>
      <c r="E135" s="12" t="s">
        <v>797</v>
      </c>
      <c r="F135" s="12" t="s">
        <v>798</v>
      </c>
      <c r="G135" s="12" t="s">
        <v>470</v>
      </c>
      <c r="H135" s="12" t="s">
        <v>799</v>
      </c>
      <c r="I135" s="12" t="s">
        <v>78</v>
      </c>
      <c r="J135" s="8" t="s">
        <v>96</v>
      </c>
      <c r="K135" s="8" t="s">
        <v>52</v>
      </c>
    </row>
    <row r="136" customFormat="false" ht="15" hidden="false" customHeight="true" outlineLevel="0" collapsed="false">
      <c r="A136" s="12" t="s">
        <v>800</v>
      </c>
      <c r="B136" s="12" t="s">
        <v>115</v>
      </c>
      <c r="C136" s="12" t="s">
        <v>116</v>
      </c>
      <c r="D136" s="12" t="s">
        <v>26</v>
      </c>
      <c r="E136" s="12" t="s">
        <v>759</v>
      </c>
      <c r="F136" s="12" t="s">
        <v>801</v>
      </c>
      <c r="G136" s="12" t="s">
        <v>263</v>
      </c>
      <c r="H136" s="12" t="s">
        <v>802</v>
      </c>
      <c r="I136" s="12" t="s">
        <v>86</v>
      </c>
      <c r="J136" s="8" t="s">
        <v>121</v>
      </c>
      <c r="K136" s="8" t="s">
        <v>129</v>
      </c>
    </row>
    <row r="137" customFormat="false" ht="15" hidden="false" customHeight="true" outlineLevel="0" collapsed="false">
      <c r="A137" s="12" t="s">
        <v>803</v>
      </c>
      <c r="B137" s="12" t="s">
        <v>90</v>
      </c>
      <c r="C137" s="12" t="s">
        <v>91</v>
      </c>
      <c r="D137" s="12" t="s">
        <v>31</v>
      </c>
      <c r="E137" s="12" t="s">
        <v>804</v>
      </c>
      <c r="F137" s="12" t="s">
        <v>805</v>
      </c>
      <c r="G137" s="12" t="s">
        <v>263</v>
      </c>
      <c r="H137" s="12" t="s">
        <v>806</v>
      </c>
      <c r="I137" s="12" t="s">
        <v>86</v>
      </c>
      <c r="J137" s="8" t="s">
        <v>96</v>
      </c>
      <c r="K137" s="8" t="s">
        <v>52</v>
      </c>
    </row>
    <row r="138" customFormat="false" ht="15" hidden="false" customHeight="true" outlineLevel="0" collapsed="false">
      <c r="A138" s="12" t="s">
        <v>807</v>
      </c>
      <c r="B138" s="12" t="s">
        <v>779</v>
      </c>
      <c r="C138" s="12" t="s">
        <v>312</v>
      </c>
      <c r="D138" s="12" t="s">
        <v>26</v>
      </c>
      <c r="E138" s="12" t="s">
        <v>759</v>
      </c>
      <c r="F138" s="12" t="s">
        <v>808</v>
      </c>
      <c r="G138" s="12" t="s">
        <v>263</v>
      </c>
      <c r="H138" s="12" t="s">
        <v>809</v>
      </c>
      <c r="I138" s="12" t="s">
        <v>86</v>
      </c>
      <c r="J138" s="8" t="s">
        <v>317</v>
      </c>
      <c r="K138" s="8" t="s">
        <v>129</v>
      </c>
    </row>
    <row r="139" customFormat="false" ht="23.25" hidden="false" customHeight="true" outlineLevel="0" collapsed="false">
      <c r="A139" s="12" t="s">
        <v>810</v>
      </c>
      <c r="B139" s="12" t="s">
        <v>329</v>
      </c>
      <c r="C139" s="12" t="s">
        <v>330</v>
      </c>
      <c r="D139" s="12" t="s">
        <v>25</v>
      </c>
      <c r="E139" s="12" t="s">
        <v>811</v>
      </c>
      <c r="F139" s="12" t="s">
        <v>812</v>
      </c>
      <c r="G139" s="12" t="s">
        <v>813</v>
      </c>
      <c r="H139" s="12" t="s">
        <v>814</v>
      </c>
      <c r="I139" s="12" t="s">
        <v>78</v>
      </c>
      <c r="J139" s="8" t="s">
        <v>335</v>
      </c>
      <c r="K139" s="8" t="s">
        <v>520</v>
      </c>
    </row>
    <row r="140" customFormat="false" ht="15" hidden="false" customHeight="true" outlineLevel="0" collapsed="false">
      <c r="A140" s="12" t="s">
        <v>815</v>
      </c>
      <c r="B140" s="12" t="s">
        <v>44</v>
      </c>
      <c r="C140" s="12" t="s">
        <v>45</v>
      </c>
      <c r="D140" s="12" t="s">
        <v>30</v>
      </c>
      <c r="E140" s="12" t="s">
        <v>816</v>
      </c>
      <c r="F140" s="12" t="s">
        <v>817</v>
      </c>
      <c r="G140" s="12" t="s">
        <v>290</v>
      </c>
      <c r="H140" s="12" t="s">
        <v>818</v>
      </c>
      <c r="I140" s="12" t="s">
        <v>103</v>
      </c>
      <c r="J140" s="8" t="s">
        <v>51</v>
      </c>
      <c r="K140" s="8" t="s">
        <v>129</v>
      </c>
    </row>
    <row r="141" customFormat="false" ht="45.75" hidden="false" customHeight="true" outlineLevel="0" collapsed="false">
      <c r="A141" s="12" t="s">
        <v>819</v>
      </c>
      <c r="B141" s="12" t="s">
        <v>669</v>
      </c>
      <c r="C141" s="12" t="s">
        <v>419</v>
      </c>
      <c r="D141" s="12" t="s">
        <v>24</v>
      </c>
      <c r="E141" s="12" t="s">
        <v>820</v>
      </c>
      <c r="F141" s="12" t="s">
        <v>821</v>
      </c>
      <c r="G141" s="12" t="s">
        <v>263</v>
      </c>
      <c r="H141" s="12" t="s">
        <v>822</v>
      </c>
      <c r="I141" s="12" t="s">
        <v>78</v>
      </c>
      <c r="J141" s="8" t="s">
        <v>424</v>
      </c>
      <c r="K141" s="8" t="s">
        <v>129</v>
      </c>
    </row>
    <row r="142" customFormat="false" ht="23.25" hidden="false" customHeight="true" outlineLevel="0" collapsed="false">
      <c r="A142" s="12" t="s">
        <v>823</v>
      </c>
      <c r="B142" s="12" t="s">
        <v>90</v>
      </c>
      <c r="C142" s="12" t="s">
        <v>91</v>
      </c>
      <c r="D142" s="12" t="s">
        <v>30</v>
      </c>
      <c r="E142" s="12" t="s">
        <v>824</v>
      </c>
      <c r="F142" s="12" t="s">
        <v>825</v>
      </c>
      <c r="G142" s="12" t="s">
        <v>826</v>
      </c>
      <c r="H142" s="12" t="s">
        <v>827</v>
      </c>
      <c r="I142" s="12" t="s">
        <v>78</v>
      </c>
      <c r="J142" s="8" t="s">
        <v>96</v>
      </c>
      <c r="K142" s="8" t="s">
        <v>222</v>
      </c>
    </row>
    <row r="143" customFormat="false" ht="34.5" hidden="false" customHeight="true" outlineLevel="0" collapsed="false">
      <c r="A143" s="12" t="s">
        <v>828</v>
      </c>
      <c r="B143" s="12" t="s">
        <v>44</v>
      </c>
      <c r="C143" s="12" t="s">
        <v>45</v>
      </c>
      <c r="D143" s="12" t="s">
        <v>30</v>
      </c>
      <c r="E143" s="12" t="s">
        <v>829</v>
      </c>
      <c r="F143" s="12" t="s">
        <v>830</v>
      </c>
      <c r="G143" s="12" t="s">
        <v>831</v>
      </c>
      <c r="H143" s="12" t="s">
        <v>832</v>
      </c>
      <c r="I143" s="12" t="s">
        <v>265</v>
      </c>
      <c r="J143" s="8" t="s">
        <v>51</v>
      </c>
      <c r="K143" s="8" t="s">
        <v>88</v>
      </c>
    </row>
    <row r="144" customFormat="false" ht="23.25" hidden="false" customHeight="true" outlineLevel="0" collapsed="false">
      <c r="A144" s="12" t="s">
        <v>833</v>
      </c>
      <c r="B144" s="12" t="s">
        <v>90</v>
      </c>
      <c r="C144" s="12" t="s">
        <v>91</v>
      </c>
      <c r="D144" s="12" t="s">
        <v>26</v>
      </c>
      <c r="E144" s="12" t="s">
        <v>834</v>
      </c>
      <c r="F144" s="12" t="s">
        <v>835</v>
      </c>
      <c r="G144" s="12" t="s">
        <v>836</v>
      </c>
      <c r="H144" s="12" t="s">
        <v>837</v>
      </c>
      <c r="I144" s="12" t="s">
        <v>78</v>
      </c>
      <c r="J144" s="8" t="s">
        <v>96</v>
      </c>
      <c r="K144" s="8" t="s">
        <v>52</v>
      </c>
    </row>
    <row r="145" customFormat="false" ht="15" hidden="false" customHeight="true" outlineLevel="0" collapsed="false">
      <c r="A145" s="12" t="s">
        <v>838</v>
      </c>
      <c r="B145" s="12" t="s">
        <v>839</v>
      </c>
      <c r="C145" s="12" t="s">
        <v>840</v>
      </c>
      <c r="D145" s="12" t="s">
        <v>30</v>
      </c>
      <c r="E145" s="12" t="s">
        <v>759</v>
      </c>
      <c r="F145" s="12" t="s">
        <v>557</v>
      </c>
      <c r="G145" s="12" t="s">
        <v>290</v>
      </c>
      <c r="H145" s="12" t="s">
        <v>841</v>
      </c>
      <c r="I145" s="12" t="s">
        <v>86</v>
      </c>
      <c r="J145" s="8" t="s">
        <v>842</v>
      </c>
      <c r="K145" s="8" t="s">
        <v>129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11" min="2" style="0" width="16"/>
  </cols>
  <sheetData>
    <row r="1" customFormat="false" ht="15" hidden="false" customHeight="false" outlineLevel="0" collapsed="false">
      <c r="A1" s="13" t="s">
        <v>20</v>
      </c>
      <c r="B1" s="13" t="s">
        <v>843</v>
      </c>
      <c r="C1" s="13" t="s">
        <v>844</v>
      </c>
      <c r="D1" s="13" t="s">
        <v>845</v>
      </c>
      <c r="E1" s="13" t="s">
        <v>846</v>
      </c>
      <c r="F1" s="13" t="s">
        <v>847</v>
      </c>
      <c r="G1" s="13" t="s">
        <v>848</v>
      </c>
      <c r="H1" s="13" t="s">
        <v>849</v>
      </c>
      <c r="I1" s="13" t="s">
        <v>850</v>
      </c>
      <c r="J1" s="13" t="s">
        <v>851</v>
      </c>
      <c r="K1" s="13" t="s">
        <v>852</v>
      </c>
    </row>
    <row r="2" customFormat="false" ht="15" hidden="false" customHeight="false" outlineLevel="0" collapsed="false">
      <c r="A2" s="8" t="n">
        <v>2016</v>
      </c>
      <c r="B2" s="8" t="n">
        <f aca="false">COUNTIFS(Incidents!A:A,"2016-*",Incidents!D:D,"runway_excursion")</f>
        <v>4</v>
      </c>
      <c r="C2" s="8" t="n">
        <f aca="false">COUNTIFS(Incidents!A:A,"2016-*",Incidents!D:D,"runway_incursion")</f>
        <v>1</v>
      </c>
      <c r="D2" s="8" t="n">
        <f aca="false">COUNTIFS(Incidents!A:A,"2016-*",Incidents!D:D,"ground_collision")</f>
        <v>3</v>
      </c>
      <c r="E2" s="8" t="n">
        <f aca="false">COUNTIFS(Incidents!A:A,"2016-*",Incidents!D:D,"tarmac_fire")</f>
        <v>0</v>
      </c>
      <c r="F2" s="8" t="n">
        <f aca="false">COUNTIFS(Incidents!A:A,"2016-*",Incidents!D:D,"fuel_spill")</f>
        <v>0</v>
      </c>
      <c r="G2" s="8" t="n">
        <f aca="false">COUNTIFS(Incidents!A:A,"2016-*",Incidents!D:D,"bird_strike_ground")</f>
        <v>0</v>
      </c>
      <c r="H2" s="8" t="n">
        <f aca="false">COUNTIFS(Incidents!A:A,"2016-*",Incidents!D:D,"security_breach")</f>
        <v>0</v>
      </c>
      <c r="I2" s="8" t="n">
        <f aca="false">COUNTIFS(Incidents!A:A,"2016-*",Incidents!D:D,"apron_incident")</f>
        <v>0</v>
      </c>
      <c r="J2" s="8" t="n">
        <f aca="false">COUNTIFS(Incidents!A:A,"2016-*",Incidents!D:D,"other")</f>
        <v>0</v>
      </c>
      <c r="K2" s="8" t="n">
        <f aca="false">SUM(B2:J2)</f>
        <v>8</v>
      </c>
    </row>
    <row r="3" customFormat="false" ht="15" hidden="false" customHeight="false" outlineLevel="0" collapsed="false">
      <c r="A3" s="8" t="n">
        <v>2017</v>
      </c>
      <c r="B3" s="8" t="n">
        <f aca="false">COUNTIFS(Incidents!A:A,"2017-*",Incidents!D:D,"runway_excursion")</f>
        <v>5</v>
      </c>
      <c r="C3" s="8" t="n">
        <f aca="false">COUNTIFS(Incidents!A:A,"2017-*",Incidents!D:D,"runway_incursion")</f>
        <v>0</v>
      </c>
      <c r="D3" s="8" t="n">
        <f aca="false">COUNTIFS(Incidents!A:A,"2017-*",Incidents!D:D,"ground_collision")</f>
        <v>0</v>
      </c>
      <c r="E3" s="8" t="n">
        <f aca="false">COUNTIFS(Incidents!A:A,"2017-*",Incidents!D:D,"tarmac_fire")</f>
        <v>0</v>
      </c>
      <c r="F3" s="8" t="n">
        <f aca="false">COUNTIFS(Incidents!A:A,"2017-*",Incidents!D:D,"fuel_spill")</f>
        <v>0</v>
      </c>
      <c r="G3" s="8" t="n">
        <f aca="false">COUNTIFS(Incidents!A:A,"2017-*",Incidents!D:D,"bird_strike_ground")</f>
        <v>5</v>
      </c>
      <c r="H3" s="8" t="n">
        <f aca="false">COUNTIFS(Incidents!A:A,"2017-*",Incidents!D:D,"security_breach")</f>
        <v>0</v>
      </c>
      <c r="I3" s="8" t="n">
        <f aca="false">COUNTIFS(Incidents!A:A,"2017-*",Incidents!D:D,"apron_incident")</f>
        <v>4</v>
      </c>
      <c r="J3" s="8" t="n">
        <f aca="false">COUNTIFS(Incidents!A:A,"2017-*",Incidents!D:D,"other")</f>
        <v>0</v>
      </c>
      <c r="K3" s="8" t="n">
        <f aca="false">SUM(B3:J3)</f>
        <v>14</v>
      </c>
    </row>
    <row r="4" customFormat="false" ht="15" hidden="false" customHeight="false" outlineLevel="0" collapsed="false">
      <c r="A4" s="8" t="n">
        <v>2018</v>
      </c>
      <c r="B4" s="8" t="n">
        <f aca="false">COUNTIFS(Incidents!A:A,"2018-*",Incidents!D:D,"runway_excursion")</f>
        <v>3</v>
      </c>
      <c r="C4" s="8" t="n">
        <f aca="false">COUNTIFS(Incidents!A:A,"2018-*",Incidents!D:D,"runway_incursion")</f>
        <v>0</v>
      </c>
      <c r="D4" s="8" t="n">
        <f aca="false">COUNTIFS(Incidents!A:A,"2018-*",Incidents!D:D,"ground_collision")</f>
        <v>0</v>
      </c>
      <c r="E4" s="8" t="n">
        <f aca="false">COUNTIFS(Incidents!A:A,"2018-*",Incidents!D:D,"tarmac_fire")</f>
        <v>0</v>
      </c>
      <c r="F4" s="8" t="n">
        <f aca="false">COUNTIFS(Incidents!A:A,"2018-*",Incidents!D:D,"fuel_spill")</f>
        <v>0</v>
      </c>
      <c r="G4" s="8" t="n">
        <f aca="false">COUNTIFS(Incidents!A:A,"2018-*",Incidents!D:D,"bird_strike_ground")</f>
        <v>0</v>
      </c>
      <c r="H4" s="8" t="n">
        <f aca="false">COUNTIFS(Incidents!A:A,"2018-*",Incidents!D:D,"security_breach")</f>
        <v>0</v>
      </c>
      <c r="I4" s="8" t="n">
        <f aca="false">COUNTIFS(Incidents!A:A,"2018-*",Incidents!D:D,"apron_incident")</f>
        <v>3</v>
      </c>
      <c r="J4" s="8" t="n">
        <f aca="false">COUNTIFS(Incidents!A:A,"2018-*",Incidents!D:D,"other")</f>
        <v>1</v>
      </c>
      <c r="K4" s="8" t="n">
        <f aca="false">SUM(B4:J4)</f>
        <v>7</v>
      </c>
    </row>
    <row r="5" customFormat="false" ht="15" hidden="false" customHeight="false" outlineLevel="0" collapsed="false">
      <c r="A5" s="8" t="n">
        <v>2019</v>
      </c>
      <c r="B5" s="8" t="n">
        <f aca="false">COUNTIFS(Incidents!A:A,"2019-*",Incidents!D:D,"runway_excursion")</f>
        <v>6</v>
      </c>
      <c r="C5" s="8" t="n">
        <f aca="false">COUNTIFS(Incidents!A:A,"2019-*",Incidents!D:D,"runway_incursion")</f>
        <v>4</v>
      </c>
      <c r="D5" s="8" t="n">
        <f aca="false">COUNTIFS(Incidents!A:A,"2019-*",Incidents!D:D,"ground_collision")</f>
        <v>0</v>
      </c>
      <c r="E5" s="8" t="n">
        <f aca="false">COUNTIFS(Incidents!A:A,"2019-*",Incidents!D:D,"tarmac_fire")</f>
        <v>0</v>
      </c>
      <c r="F5" s="8" t="n">
        <f aca="false">COUNTIFS(Incidents!A:A,"2019-*",Incidents!D:D,"fuel_spill")</f>
        <v>0</v>
      </c>
      <c r="G5" s="8" t="n">
        <f aca="false">COUNTIFS(Incidents!A:A,"2019-*",Incidents!D:D,"bird_strike_ground")</f>
        <v>0</v>
      </c>
      <c r="H5" s="8" t="n">
        <f aca="false">COUNTIFS(Incidents!A:A,"2019-*",Incidents!D:D,"security_breach")</f>
        <v>1</v>
      </c>
      <c r="I5" s="8" t="n">
        <f aca="false">COUNTIFS(Incidents!A:A,"2019-*",Incidents!D:D,"apron_incident")</f>
        <v>4</v>
      </c>
      <c r="J5" s="8" t="n">
        <f aca="false">COUNTIFS(Incidents!A:A,"2019-*",Incidents!D:D,"other")</f>
        <v>1</v>
      </c>
      <c r="K5" s="8" t="n">
        <f aca="false">SUM(B5:J5)</f>
        <v>16</v>
      </c>
    </row>
    <row r="6" customFormat="false" ht="15" hidden="false" customHeight="false" outlineLevel="0" collapsed="false">
      <c r="A6" s="8" t="n">
        <v>2020</v>
      </c>
      <c r="B6" s="8" t="n">
        <f aca="false">COUNTIFS(Incidents!A:A,"2020-*",Incidents!D:D,"runway_excursion")</f>
        <v>2</v>
      </c>
      <c r="C6" s="8" t="n">
        <f aca="false">COUNTIFS(Incidents!A:A,"2020-*",Incidents!D:D,"runway_incursion")</f>
        <v>2</v>
      </c>
      <c r="D6" s="8" t="n">
        <f aca="false">COUNTIFS(Incidents!A:A,"2020-*",Incidents!D:D,"ground_collision")</f>
        <v>2</v>
      </c>
      <c r="E6" s="8" t="n">
        <f aca="false">COUNTIFS(Incidents!A:A,"2020-*",Incidents!D:D,"tarmac_fire")</f>
        <v>0</v>
      </c>
      <c r="F6" s="8" t="n">
        <f aca="false">COUNTIFS(Incidents!A:A,"2020-*",Incidents!D:D,"fuel_spill")</f>
        <v>0</v>
      </c>
      <c r="G6" s="8" t="n">
        <f aca="false">COUNTIFS(Incidents!A:A,"2020-*",Incidents!D:D,"bird_strike_ground")</f>
        <v>1</v>
      </c>
      <c r="H6" s="8" t="n">
        <f aca="false">COUNTIFS(Incidents!A:A,"2020-*",Incidents!D:D,"security_breach")</f>
        <v>0</v>
      </c>
      <c r="I6" s="8" t="n">
        <f aca="false">COUNTIFS(Incidents!A:A,"2020-*",Incidents!D:D,"apron_incident")</f>
        <v>1</v>
      </c>
      <c r="J6" s="8" t="n">
        <f aca="false">COUNTIFS(Incidents!A:A,"2020-*",Incidents!D:D,"other")</f>
        <v>1</v>
      </c>
      <c r="K6" s="8" t="n">
        <f aca="false">SUM(B6:J6)</f>
        <v>9</v>
      </c>
    </row>
    <row r="7" customFormat="false" ht="15" hidden="false" customHeight="false" outlineLevel="0" collapsed="false">
      <c r="A7" s="8" t="n">
        <v>2021</v>
      </c>
      <c r="B7" s="8" t="n">
        <f aca="false">COUNTIFS(Incidents!A:A,"2021-*",Incidents!D:D,"runway_excursion")</f>
        <v>1</v>
      </c>
      <c r="C7" s="8" t="n">
        <f aca="false">COUNTIFS(Incidents!A:A,"2021-*",Incidents!D:D,"runway_incursion")</f>
        <v>2</v>
      </c>
      <c r="D7" s="8" t="n">
        <f aca="false">COUNTIFS(Incidents!A:A,"2021-*",Incidents!D:D,"ground_collision")</f>
        <v>0</v>
      </c>
      <c r="E7" s="8" t="n">
        <f aca="false">COUNTIFS(Incidents!A:A,"2021-*",Incidents!D:D,"tarmac_fire")</f>
        <v>0</v>
      </c>
      <c r="F7" s="8" t="n">
        <f aca="false">COUNTIFS(Incidents!A:A,"2021-*",Incidents!D:D,"fuel_spill")</f>
        <v>0</v>
      </c>
      <c r="G7" s="8" t="n">
        <f aca="false">COUNTIFS(Incidents!A:A,"2021-*",Incidents!D:D,"bird_strike_ground")</f>
        <v>3</v>
      </c>
      <c r="H7" s="8" t="n">
        <f aca="false">COUNTIFS(Incidents!A:A,"2021-*",Incidents!D:D,"security_breach")</f>
        <v>0</v>
      </c>
      <c r="I7" s="8" t="n">
        <f aca="false">COUNTIFS(Incidents!A:A,"2021-*",Incidents!D:D,"apron_incident")</f>
        <v>1</v>
      </c>
      <c r="J7" s="8" t="n">
        <f aca="false">COUNTIFS(Incidents!A:A,"2021-*",Incidents!D:D,"other")</f>
        <v>2</v>
      </c>
      <c r="K7" s="8" t="n">
        <f aca="false">SUM(B7:J7)</f>
        <v>9</v>
      </c>
    </row>
    <row r="8" customFormat="false" ht="15" hidden="false" customHeight="false" outlineLevel="0" collapsed="false">
      <c r="A8" s="8" t="n">
        <v>2022</v>
      </c>
      <c r="B8" s="8" t="n">
        <f aca="false">COUNTIFS(Incidents!A:A,"2022-*",Incidents!D:D,"runway_excursion")</f>
        <v>2</v>
      </c>
      <c r="C8" s="8" t="n">
        <f aca="false">COUNTIFS(Incidents!A:A,"2022-*",Incidents!D:D,"runway_incursion")</f>
        <v>1</v>
      </c>
      <c r="D8" s="8" t="n">
        <f aca="false">COUNTIFS(Incidents!A:A,"2022-*",Incidents!D:D,"ground_collision")</f>
        <v>2</v>
      </c>
      <c r="E8" s="8" t="n">
        <f aca="false">COUNTIFS(Incidents!A:A,"2022-*",Incidents!D:D,"tarmac_fire")</f>
        <v>2</v>
      </c>
      <c r="F8" s="8" t="n">
        <f aca="false">COUNTIFS(Incidents!A:A,"2022-*",Incidents!D:D,"fuel_spill")</f>
        <v>0</v>
      </c>
      <c r="G8" s="8" t="n">
        <f aca="false">COUNTIFS(Incidents!A:A,"2022-*",Incidents!D:D,"bird_strike_ground")</f>
        <v>7</v>
      </c>
      <c r="H8" s="8" t="n">
        <f aca="false">COUNTIFS(Incidents!A:A,"2022-*",Incidents!D:D,"security_breach")</f>
        <v>0</v>
      </c>
      <c r="I8" s="8" t="n">
        <f aca="false">COUNTIFS(Incidents!A:A,"2022-*",Incidents!D:D,"apron_incident")</f>
        <v>1</v>
      </c>
      <c r="J8" s="8" t="n">
        <f aca="false">COUNTIFS(Incidents!A:A,"2022-*",Incidents!D:D,"other")</f>
        <v>0</v>
      </c>
      <c r="K8" s="8" t="n">
        <f aca="false">SUM(B8:J8)</f>
        <v>15</v>
      </c>
    </row>
    <row r="9" customFormat="false" ht="15" hidden="false" customHeight="false" outlineLevel="0" collapsed="false">
      <c r="A9" s="8" t="n">
        <v>2023</v>
      </c>
      <c r="B9" s="8" t="n">
        <f aca="false">COUNTIFS(Incidents!A:A,"2023-*",Incidents!D:D,"runway_excursion")</f>
        <v>1</v>
      </c>
      <c r="C9" s="8" t="n">
        <f aca="false">COUNTIFS(Incidents!A:A,"2023-*",Incidents!D:D,"runway_incursion")</f>
        <v>2</v>
      </c>
      <c r="D9" s="8" t="n">
        <f aca="false">COUNTIFS(Incidents!A:A,"2023-*",Incidents!D:D,"ground_collision")</f>
        <v>1</v>
      </c>
      <c r="E9" s="8" t="n">
        <f aca="false">COUNTIFS(Incidents!A:A,"2023-*",Incidents!D:D,"tarmac_fire")</f>
        <v>0</v>
      </c>
      <c r="F9" s="8" t="n">
        <f aca="false">COUNTIFS(Incidents!A:A,"2023-*",Incidents!D:D,"fuel_spill")</f>
        <v>0</v>
      </c>
      <c r="G9" s="8" t="n">
        <f aca="false">COUNTIFS(Incidents!A:A,"2023-*",Incidents!D:D,"bird_strike_ground")</f>
        <v>4</v>
      </c>
      <c r="H9" s="8" t="n">
        <f aca="false">COUNTIFS(Incidents!A:A,"2023-*",Incidents!D:D,"security_breach")</f>
        <v>1</v>
      </c>
      <c r="I9" s="8" t="n">
        <f aca="false">COUNTIFS(Incidents!A:A,"2023-*",Incidents!D:D,"apron_incident")</f>
        <v>10</v>
      </c>
      <c r="J9" s="8" t="n">
        <f aca="false">COUNTIFS(Incidents!A:A,"2023-*",Incidents!D:D,"other")</f>
        <v>1</v>
      </c>
      <c r="K9" s="8" t="n">
        <f aca="false">SUM(B9:J9)</f>
        <v>20</v>
      </c>
    </row>
    <row r="10" customFormat="false" ht="15" hidden="false" customHeight="false" outlineLevel="0" collapsed="false">
      <c r="A10" s="8" t="n">
        <v>2024</v>
      </c>
      <c r="B10" s="8" t="n">
        <f aca="false">COUNTIFS(Incidents!A:A,"2024-*",Incidents!D:D,"runway_excursion")</f>
        <v>2</v>
      </c>
      <c r="C10" s="8" t="n">
        <f aca="false">COUNTIFS(Incidents!A:A,"2024-*",Incidents!D:D,"runway_incursion")</f>
        <v>4</v>
      </c>
      <c r="D10" s="8" t="n">
        <f aca="false">COUNTIFS(Incidents!A:A,"2024-*",Incidents!D:D,"ground_collision")</f>
        <v>3</v>
      </c>
      <c r="E10" s="8" t="n">
        <f aca="false">COUNTIFS(Incidents!A:A,"2024-*",Incidents!D:D,"tarmac_fire")</f>
        <v>1</v>
      </c>
      <c r="F10" s="8" t="n">
        <f aca="false">COUNTIFS(Incidents!A:A,"2024-*",Incidents!D:D,"fuel_spill")</f>
        <v>0</v>
      </c>
      <c r="G10" s="8" t="n">
        <f aca="false">COUNTIFS(Incidents!A:A,"2024-*",Incidents!D:D,"bird_strike_ground")</f>
        <v>4</v>
      </c>
      <c r="H10" s="8" t="n">
        <f aca="false">COUNTIFS(Incidents!A:A,"2024-*",Incidents!D:D,"security_breach")</f>
        <v>3</v>
      </c>
      <c r="I10" s="8" t="n">
        <f aca="false">COUNTIFS(Incidents!A:A,"2024-*",Incidents!D:D,"apron_incident")</f>
        <v>5</v>
      </c>
      <c r="J10" s="8" t="n">
        <f aca="false">COUNTIFS(Incidents!A:A,"2024-*",Incidents!D:D,"other")</f>
        <v>2</v>
      </c>
      <c r="K10" s="8" t="n">
        <f aca="false">SUM(B10:J10)</f>
        <v>24</v>
      </c>
    </row>
    <row r="11" customFormat="false" ht="15" hidden="false" customHeight="false" outlineLevel="0" collapsed="false">
      <c r="A11" s="8" t="n">
        <v>2025</v>
      </c>
      <c r="B11" s="8" t="n">
        <f aca="false">COUNTIFS(Incidents!A:A,"2025-*",Incidents!D:D,"runway_excursion")</f>
        <v>1</v>
      </c>
      <c r="C11" s="8" t="n">
        <f aca="false">COUNTIFS(Incidents!A:A,"2025-*",Incidents!D:D,"runway_incursion")</f>
        <v>1</v>
      </c>
      <c r="D11" s="8" t="n">
        <f aca="false">COUNTIFS(Incidents!A:A,"2025-*",Incidents!D:D,"ground_collision")</f>
        <v>3</v>
      </c>
      <c r="E11" s="8" t="n">
        <f aca="false">COUNTIFS(Incidents!A:A,"2025-*",Incidents!D:D,"tarmac_fire")</f>
        <v>5</v>
      </c>
      <c r="F11" s="8" t="n">
        <f aca="false">COUNTIFS(Incidents!A:A,"2025-*",Incidents!D:D,"fuel_spill")</f>
        <v>0</v>
      </c>
      <c r="G11" s="8" t="n">
        <f aca="false">COUNTIFS(Incidents!A:A,"2025-*",Incidents!D:D,"bird_strike_ground")</f>
        <v>1</v>
      </c>
      <c r="H11" s="8" t="n">
        <f aca="false">COUNTIFS(Incidents!A:A,"2025-*",Incidents!D:D,"security_breach")</f>
        <v>0</v>
      </c>
      <c r="I11" s="8" t="n">
        <f aca="false">COUNTIFS(Incidents!A:A,"2025-*",Incidents!D:D,"apron_incident")</f>
        <v>6</v>
      </c>
      <c r="J11" s="8" t="n">
        <f aca="false">COUNTIFS(Incidents!A:A,"2025-*",Incidents!D:D,"other")</f>
        <v>5</v>
      </c>
      <c r="K11" s="8" t="n">
        <f aca="false">SUM(B11:J11)</f>
        <v>22</v>
      </c>
    </row>
    <row r="12" customFormat="false" ht="15" hidden="false" customHeight="false" outlineLevel="0" collapsed="false">
      <c r="A12" s="14" t="s">
        <v>852</v>
      </c>
      <c r="B12" s="14" t="n">
        <f aca="false">SUM(B2:B11)</f>
        <v>27</v>
      </c>
      <c r="C12" s="14" t="n">
        <f aca="false">SUM(C2:C11)</f>
        <v>17</v>
      </c>
      <c r="D12" s="14" t="n">
        <f aca="false">SUM(D2:D11)</f>
        <v>14</v>
      </c>
      <c r="E12" s="14" t="n">
        <f aca="false">SUM(E2:E11)</f>
        <v>8</v>
      </c>
      <c r="F12" s="14" t="n">
        <f aca="false">SUM(F2:F11)</f>
        <v>0</v>
      </c>
      <c r="G12" s="14" t="n">
        <f aca="false">SUM(G2:G11)</f>
        <v>25</v>
      </c>
      <c r="H12" s="14" t="n">
        <f aca="false">SUM(H2:H11)</f>
        <v>5</v>
      </c>
      <c r="I12" s="14" t="n">
        <f aca="false">SUM(I2:I11)</f>
        <v>35</v>
      </c>
      <c r="J12" s="14" t="n">
        <f aca="false">SUM(J2:J11)</f>
        <v>13</v>
      </c>
      <c r="K12" s="14" t="n">
        <f aca="false">SUM(K2:K11)</f>
        <v>144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12" min="2" style="0" width="10"/>
  </cols>
  <sheetData>
    <row r="1" customFormat="false" ht="15" hidden="false" customHeight="false" outlineLevel="0" collapsed="false">
      <c r="A1" s="13" t="s">
        <v>853</v>
      </c>
      <c r="B1" s="13" t="s">
        <v>854</v>
      </c>
      <c r="C1" s="13" t="s">
        <v>855</v>
      </c>
      <c r="D1" s="13" t="s">
        <v>856</v>
      </c>
      <c r="E1" s="13" t="s">
        <v>857</v>
      </c>
      <c r="F1" s="13" t="s">
        <v>858</v>
      </c>
      <c r="G1" s="13" t="s">
        <v>859</v>
      </c>
      <c r="H1" s="13" t="s">
        <v>860</v>
      </c>
      <c r="I1" s="13" t="s">
        <v>861</v>
      </c>
      <c r="J1" s="13" t="s">
        <v>862</v>
      </c>
      <c r="K1" s="13" t="s">
        <v>863</v>
      </c>
      <c r="L1" s="13" t="s">
        <v>852</v>
      </c>
    </row>
    <row r="2" customFormat="false" ht="15" hidden="false" customHeight="false" outlineLevel="0" collapsed="false">
      <c r="A2" s="8" t="s">
        <v>96</v>
      </c>
      <c r="B2" s="8" t="n">
        <f aca="false">COUNTIFS(Incidents!J:J,"DEL",Incidents!A:A,"2016-*")</f>
        <v>1</v>
      </c>
      <c r="C2" s="8" t="n">
        <f aca="false">COUNTIFS(Incidents!J:J,"DEL",Incidents!A:A,"2017-*")</f>
        <v>2</v>
      </c>
      <c r="D2" s="8" t="n">
        <f aca="false">COUNTIFS(Incidents!J:J,"DEL",Incidents!A:A,"2018-*")</f>
        <v>0</v>
      </c>
      <c r="E2" s="8" t="n">
        <f aca="false">COUNTIFS(Incidents!J:J,"DEL",Incidents!A:A,"2019-*")</f>
        <v>2</v>
      </c>
      <c r="F2" s="8" t="n">
        <f aca="false">COUNTIFS(Incidents!J:J,"DEL",Incidents!A:A,"2020-*")</f>
        <v>0</v>
      </c>
      <c r="G2" s="8" t="n">
        <f aca="false">COUNTIFS(Incidents!J:J,"DEL",Incidents!A:A,"2021-*")</f>
        <v>0</v>
      </c>
      <c r="H2" s="8" t="n">
        <f aca="false">COUNTIFS(Incidents!J:J,"DEL",Incidents!A:A,"2022-*")</f>
        <v>4</v>
      </c>
      <c r="I2" s="8" t="n">
        <f aca="false">COUNTIFS(Incidents!J:J,"DEL",Incidents!A:A,"2023-*")</f>
        <v>6</v>
      </c>
      <c r="J2" s="8" t="n">
        <f aca="false">COUNTIFS(Incidents!J:J,"DEL",Incidents!A:A,"2024-*")</f>
        <v>5</v>
      </c>
      <c r="K2" s="8" t="n">
        <f aca="false">COUNTIFS(Incidents!J:J,"DEL",Incidents!A:A,"2025-*")</f>
        <v>6</v>
      </c>
      <c r="L2" s="8" t="n">
        <f aca="false">SUM(B2:K2)</f>
        <v>26</v>
      </c>
    </row>
    <row r="3" customFormat="false" ht="15" hidden="false" customHeight="false" outlineLevel="0" collapsed="false">
      <c r="A3" s="8" t="s">
        <v>51</v>
      </c>
      <c r="B3" s="8" t="n">
        <f aca="false">COUNTIFS(Incidents!J:J,"BOM",Incidents!A:A,"2016-*")</f>
        <v>4</v>
      </c>
      <c r="C3" s="8" t="n">
        <f aca="false">COUNTIFS(Incidents!J:J,"BOM",Incidents!A:A,"2017-*")</f>
        <v>2</v>
      </c>
      <c r="D3" s="8" t="n">
        <f aca="false">COUNTIFS(Incidents!J:J,"BOM",Incidents!A:A,"2018-*")</f>
        <v>3</v>
      </c>
      <c r="E3" s="8" t="n">
        <f aca="false">COUNTIFS(Incidents!J:J,"BOM",Incidents!A:A,"2019-*")</f>
        <v>2</v>
      </c>
      <c r="F3" s="8" t="n">
        <f aca="false">COUNTIFS(Incidents!J:J,"BOM",Incidents!A:A,"2020-*")</f>
        <v>2</v>
      </c>
      <c r="G3" s="8" t="n">
        <f aca="false">COUNTIFS(Incidents!J:J,"BOM",Incidents!A:A,"2021-*")</f>
        <v>1</v>
      </c>
      <c r="H3" s="8" t="n">
        <f aca="false">COUNTIFS(Incidents!J:J,"BOM",Incidents!A:A,"2022-*")</f>
        <v>1</v>
      </c>
      <c r="I3" s="8" t="n">
        <f aca="false">COUNTIFS(Incidents!J:J,"BOM",Incidents!A:A,"2023-*")</f>
        <v>1</v>
      </c>
      <c r="J3" s="8" t="n">
        <f aca="false">COUNTIFS(Incidents!J:J,"BOM",Incidents!A:A,"2024-*")</f>
        <v>5</v>
      </c>
      <c r="K3" s="8" t="n">
        <f aca="false">COUNTIFS(Incidents!J:J,"BOM",Incidents!A:A,"2025-*")</f>
        <v>4</v>
      </c>
      <c r="L3" s="8" t="n">
        <f aca="false">SUM(B3:K3)</f>
        <v>25</v>
      </c>
    </row>
    <row r="4" customFormat="false" ht="15" hidden="false" customHeight="false" outlineLevel="0" collapsed="false">
      <c r="A4" s="8" t="s">
        <v>121</v>
      </c>
      <c r="B4" s="8" t="n">
        <f aca="false">COUNTIFS(Incidents!J:J,"AMD",Incidents!A:A,"2016-*")</f>
        <v>0</v>
      </c>
      <c r="C4" s="8" t="n">
        <f aca="false">COUNTIFS(Incidents!J:J,"AMD",Incidents!A:A,"2017-*")</f>
        <v>1</v>
      </c>
      <c r="D4" s="8" t="n">
        <f aca="false">COUNTIFS(Incidents!J:J,"AMD",Incidents!A:A,"2018-*")</f>
        <v>0</v>
      </c>
      <c r="E4" s="8" t="n">
        <f aca="false">COUNTIFS(Incidents!J:J,"AMD",Incidents!A:A,"2019-*")</f>
        <v>0</v>
      </c>
      <c r="F4" s="8" t="n">
        <f aca="false">COUNTIFS(Incidents!J:J,"AMD",Incidents!A:A,"2020-*")</f>
        <v>1</v>
      </c>
      <c r="G4" s="8" t="n">
        <f aca="false">COUNTIFS(Incidents!J:J,"AMD",Incidents!A:A,"2021-*")</f>
        <v>1</v>
      </c>
      <c r="H4" s="8" t="n">
        <f aca="false">COUNTIFS(Incidents!J:J,"AMD",Incidents!A:A,"2022-*")</f>
        <v>1</v>
      </c>
      <c r="I4" s="8" t="n">
        <f aca="false">COUNTIFS(Incidents!J:J,"AMD",Incidents!A:A,"2023-*")</f>
        <v>1</v>
      </c>
      <c r="J4" s="8" t="n">
        <f aca="false">COUNTIFS(Incidents!J:J,"AMD",Incidents!A:A,"2024-*")</f>
        <v>1</v>
      </c>
      <c r="K4" s="8" t="n">
        <f aca="false">COUNTIFS(Incidents!J:J,"AMD",Incidents!A:A,"2025-*")</f>
        <v>2</v>
      </c>
      <c r="L4" s="8" t="n">
        <f aca="false">SUM(B4:K4)</f>
        <v>8</v>
      </c>
    </row>
    <row r="5" customFormat="false" ht="15" hidden="false" customHeight="false" outlineLevel="0" collapsed="false">
      <c r="A5" s="8" t="s">
        <v>335</v>
      </c>
      <c r="B5" s="8" t="n">
        <f aca="false">COUNTIFS(Incidents!J:J,"BLR",Incidents!A:A,"2016-*")</f>
        <v>0</v>
      </c>
      <c r="C5" s="8" t="n">
        <f aca="false">COUNTIFS(Incidents!J:J,"BLR",Incidents!A:A,"2017-*")</f>
        <v>0</v>
      </c>
      <c r="D5" s="8" t="n">
        <f aca="false">COUNTIFS(Incidents!J:J,"BLR",Incidents!A:A,"2018-*")</f>
        <v>0</v>
      </c>
      <c r="E5" s="8" t="n">
        <f aca="false">COUNTIFS(Incidents!J:J,"BLR",Incidents!A:A,"2019-*")</f>
        <v>1</v>
      </c>
      <c r="F5" s="8" t="n">
        <f aca="false">COUNTIFS(Incidents!J:J,"BLR",Incidents!A:A,"2020-*")</f>
        <v>0</v>
      </c>
      <c r="G5" s="8" t="n">
        <f aca="false">COUNTIFS(Incidents!J:J,"BLR",Incidents!A:A,"2021-*")</f>
        <v>0</v>
      </c>
      <c r="H5" s="8" t="n">
        <f aca="false">COUNTIFS(Incidents!J:J,"BLR",Incidents!A:A,"2022-*")</f>
        <v>2</v>
      </c>
      <c r="I5" s="8" t="n">
        <f aca="false">COUNTIFS(Incidents!J:J,"BLR",Incidents!A:A,"2023-*")</f>
        <v>1</v>
      </c>
      <c r="J5" s="8" t="n">
        <f aca="false">COUNTIFS(Incidents!J:J,"BLR",Incidents!A:A,"2024-*")</f>
        <v>1</v>
      </c>
      <c r="K5" s="8" t="n">
        <f aca="false">COUNTIFS(Incidents!J:J,"BLR",Incidents!A:A,"2025-*")</f>
        <v>2</v>
      </c>
      <c r="L5" s="8" t="n">
        <f aca="false">SUM(B5:K5)</f>
        <v>7</v>
      </c>
    </row>
    <row r="6" customFormat="false" ht="15" hidden="false" customHeight="false" outlineLevel="0" collapsed="false">
      <c r="A6" s="8" t="s">
        <v>298</v>
      </c>
      <c r="B6" s="8" t="n">
        <f aca="false">COUNTIFS(Incidents!J:J,"CCU",Incidents!A:A,"2016-*")</f>
        <v>0</v>
      </c>
      <c r="C6" s="8" t="n">
        <f aca="false">COUNTIFS(Incidents!J:J,"CCU",Incidents!A:A,"2017-*")</f>
        <v>0</v>
      </c>
      <c r="D6" s="8" t="n">
        <f aca="false">COUNTIFS(Incidents!J:J,"CCU",Incidents!A:A,"2018-*")</f>
        <v>0</v>
      </c>
      <c r="E6" s="8" t="n">
        <f aca="false">COUNTIFS(Incidents!J:J,"CCU",Incidents!A:A,"2019-*")</f>
        <v>2</v>
      </c>
      <c r="F6" s="8" t="n">
        <f aca="false">COUNTIFS(Incidents!J:J,"CCU",Incidents!A:A,"2020-*")</f>
        <v>1</v>
      </c>
      <c r="G6" s="8" t="n">
        <f aca="false">COUNTIFS(Incidents!J:J,"CCU",Incidents!A:A,"2021-*")</f>
        <v>0</v>
      </c>
      <c r="H6" s="8" t="n">
        <f aca="false">COUNTIFS(Incidents!J:J,"CCU",Incidents!A:A,"2022-*")</f>
        <v>0</v>
      </c>
      <c r="I6" s="8" t="n">
        <f aca="false">COUNTIFS(Incidents!J:J,"CCU",Incidents!A:A,"2023-*")</f>
        <v>0</v>
      </c>
      <c r="J6" s="8" t="n">
        <f aca="false">COUNTIFS(Incidents!J:J,"CCU",Incidents!A:A,"2024-*")</f>
        <v>2</v>
      </c>
      <c r="K6" s="8" t="n">
        <f aca="false">COUNTIFS(Incidents!J:J,"CCU",Incidents!A:A,"2025-*")</f>
        <v>1</v>
      </c>
      <c r="L6" s="8" t="n">
        <f aca="false">SUM(B6:K6)</f>
        <v>6</v>
      </c>
    </row>
    <row r="7" customFormat="false" ht="15" hidden="false" customHeight="false" outlineLevel="0" collapsed="false">
      <c r="A7" s="8" t="s">
        <v>317</v>
      </c>
      <c r="B7" s="8" t="n">
        <f aca="false">COUNTIFS(Incidents!J:J,"MAA",Incidents!A:A,"2016-*")</f>
        <v>0</v>
      </c>
      <c r="C7" s="8" t="n">
        <f aca="false">COUNTIFS(Incidents!J:J,"MAA",Incidents!A:A,"2017-*")</f>
        <v>0</v>
      </c>
      <c r="D7" s="8" t="n">
        <f aca="false">COUNTIFS(Incidents!J:J,"MAA",Incidents!A:A,"2018-*")</f>
        <v>0</v>
      </c>
      <c r="E7" s="8" t="n">
        <f aca="false">COUNTIFS(Incidents!J:J,"MAA",Incidents!A:A,"2019-*")</f>
        <v>1</v>
      </c>
      <c r="F7" s="8" t="n">
        <f aca="false">COUNTIFS(Incidents!J:J,"MAA",Incidents!A:A,"2020-*")</f>
        <v>1</v>
      </c>
      <c r="G7" s="8" t="n">
        <f aca="false">COUNTIFS(Incidents!J:J,"MAA",Incidents!A:A,"2021-*")</f>
        <v>0</v>
      </c>
      <c r="H7" s="8" t="n">
        <f aca="false">COUNTIFS(Incidents!J:J,"MAA",Incidents!A:A,"2022-*")</f>
        <v>0</v>
      </c>
      <c r="I7" s="8" t="n">
        <f aca="false">COUNTIFS(Incidents!J:J,"MAA",Incidents!A:A,"2023-*")</f>
        <v>1</v>
      </c>
      <c r="J7" s="8" t="n">
        <f aca="false">COUNTIFS(Incidents!J:J,"MAA",Incidents!A:A,"2024-*")</f>
        <v>0</v>
      </c>
      <c r="K7" s="8" t="n">
        <f aca="false">COUNTIFS(Incidents!J:J,"MAA",Incidents!A:A,"2025-*")</f>
        <v>3</v>
      </c>
      <c r="L7" s="8" t="n">
        <f aca="false">SUM(B7:K7)</f>
        <v>6</v>
      </c>
    </row>
    <row r="8" customFormat="false" ht="15" hidden="false" customHeight="false" outlineLevel="0" collapsed="false">
      <c r="A8" s="8" t="s">
        <v>178</v>
      </c>
      <c r="B8" s="8" t="n">
        <f aca="false">COUNTIFS(Incidents!J:J,"COK",Incidents!A:A,"2016-*")</f>
        <v>0</v>
      </c>
      <c r="C8" s="8" t="n">
        <f aca="false">COUNTIFS(Incidents!J:J,"COK",Incidents!A:A,"2017-*")</f>
        <v>1</v>
      </c>
      <c r="D8" s="8" t="n">
        <f aca="false">COUNTIFS(Incidents!J:J,"COK",Incidents!A:A,"2018-*")</f>
        <v>1</v>
      </c>
      <c r="E8" s="8" t="n">
        <f aca="false">COUNTIFS(Incidents!J:J,"COK",Incidents!A:A,"2019-*")</f>
        <v>0</v>
      </c>
      <c r="F8" s="8" t="n">
        <f aca="false">COUNTIFS(Incidents!J:J,"COK",Incidents!A:A,"2020-*")</f>
        <v>1</v>
      </c>
      <c r="G8" s="8" t="n">
        <f aca="false">COUNTIFS(Incidents!J:J,"COK",Incidents!A:A,"2021-*")</f>
        <v>0</v>
      </c>
      <c r="H8" s="8" t="n">
        <f aca="false">COUNTIFS(Incidents!J:J,"COK",Incidents!A:A,"2022-*")</f>
        <v>0</v>
      </c>
      <c r="I8" s="8" t="n">
        <f aca="false">COUNTIFS(Incidents!J:J,"COK",Incidents!A:A,"2023-*")</f>
        <v>1</v>
      </c>
      <c r="J8" s="8" t="n">
        <f aca="false">COUNTIFS(Incidents!J:J,"COK",Incidents!A:A,"2024-*")</f>
        <v>1</v>
      </c>
      <c r="K8" s="8" t="n">
        <f aca="false">COUNTIFS(Incidents!J:J,"COK",Incidents!A:A,"2025-*")</f>
        <v>0</v>
      </c>
      <c r="L8" s="8" t="n">
        <f aca="false">SUM(B8:K8)</f>
        <v>5</v>
      </c>
    </row>
    <row r="9" customFormat="false" ht="15" hidden="false" customHeight="false" outlineLevel="0" collapsed="false">
      <c r="A9" s="8" t="s">
        <v>104</v>
      </c>
      <c r="B9" s="8" t="n">
        <f aca="false">COUNTIFS(Incidents!J:J,"GOI",Incidents!A:A,"2016-*")</f>
        <v>1</v>
      </c>
      <c r="C9" s="8" t="n">
        <f aca="false">COUNTIFS(Incidents!J:J,"GOI",Incidents!A:A,"2017-*")</f>
        <v>0</v>
      </c>
      <c r="D9" s="8" t="n">
        <f aca="false">COUNTIFS(Incidents!J:J,"GOI",Incidents!A:A,"2018-*")</f>
        <v>0</v>
      </c>
      <c r="E9" s="8" t="n">
        <f aca="false">COUNTIFS(Incidents!J:J,"GOI",Incidents!A:A,"2019-*")</f>
        <v>1</v>
      </c>
      <c r="F9" s="8" t="n">
        <f aca="false">COUNTIFS(Incidents!J:J,"GOI",Incidents!A:A,"2020-*")</f>
        <v>0</v>
      </c>
      <c r="G9" s="8" t="n">
        <f aca="false">COUNTIFS(Incidents!J:J,"GOI",Incidents!A:A,"2021-*")</f>
        <v>0</v>
      </c>
      <c r="H9" s="8" t="n">
        <f aca="false">COUNTIFS(Incidents!J:J,"GOI",Incidents!A:A,"2022-*")</f>
        <v>0</v>
      </c>
      <c r="I9" s="8" t="n">
        <f aca="false">COUNTIFS(Incidents!J:J,"GOI",Incidents!A:A,"2023-*")</f>
        <v>0</v>
      </c>
      <c r="J9" s="8" t="n">
        <f aca="false">COUNTIFS(Incidents!J:J,"GOI",Incidents!A:A,"2024-*")</f>
        <v>2</v>
      </c>
      <c r="K9" s="8" t="n">
        <f aca="false">COUNTIFS(Incidents!J:J,"GOI",Incidents!A:A,"2025-*")</f>
        <v>0</v>
      </c>
      <c r="L9" s="8" t="n">
        <f aca="false">SUM(B9:K9)</f>
        <v>4</v>
      </c>
    </row>
    <row r="10" customFormat="false" ht="15" hidden="false" customHeight="false" outlineLevel="0" collapsed="false">
      <c r="A10" s="8" t="s">
        <v>424</v>
      </c>
      <c r="B10" s="8" t="n">
        <f aca="false">COUNTIFS(Incidents!J:J,"GAU",Incidents!A:A,"2016-*")</f>
        <v>0</v>
      </c>
      <c r="C10" s="8" t="n">
        <f aca="false">COUNTIFS(Incidents!J:J,"GAU",Incidents!A:A,"2017-*")</f>
        <v>0</v>
      </c>
      <c r="D10" s="8" t="n">
        <f aca="false">COUNTIFS(Incidents!J:J,"GAU",Incidents!A:A,"2018-*")</f>
        <v>0</v>
      </c>
      <c r="E10" s="8" t="n">
        <f aca="false">COUNTIFS(Incidents!J:J,"GAU",Incidents!A:A,"2019-*")</f>
        <v>0</v>
      </c>
      <c r="F10" s="8" t="n">
        <f aca="false">COUNTIFS(Incidents!J:J,"GAU",Incidents!A:A,"2020-*")</f>
        <v>0</v>
      </c>
      <c r="G10" s="8" t="n">
        <f aca="false">COUNTIFS(Incidents!J:J,"GAU",Incidents!A:A,"2021-*")</f>
        <v>1</v>
      </c>
      <c r="H10" s="8" t="n">
        <f aca="false">COUNTIFS(Incidents!J:J,"GAU",Incidents!A:A,"2022-*")</f>
        <v>1</v>
      </c>
      <c r="I10" s="8" t="n">
        <f aca="false">COUNTIFS(Incidents!J:J,"GAU",Incidents!A:A,"2023-*")</f>
        <v>0</v>
      </c>
      <c r="J10" s="8" t="n">
        <f aca="false">COUNTIFS(Incidents!J:J,"GAU",Incidents!A:A,"2024-*")</f>
        <v>1</v>
      </c>
      <c r="K10" s="8" t="n">
        <f aca="false">COUNTIFS(Incidents!J:J,"GAU",Incidents!A:A,"2025-*")</f>
        <v>1</v>
      </c>
      <c r="L10" s="8" t="n">
        <f aca="false">SUM(B10:K10)</f>
        <v>4</v>
      </c>
    </row>
    <row r="11" customFormat="false" ht="15" hidden="false" customHeight="false" outlineLevel="0" collapsed="false">
      <c r="A11" s="8" t="s">
        <v>128</v>
      </c>
      <c r="B11" s="8" t="n">
        <f aca="false">COUNTIFS(Incidents!J:J,"RPR",Incidents!A:A,"2016-*")</f>
        <v>0</v>
      </c>
      <c r="C11" s="8" t="n">
        <f aca="false">COUNTIFS(Incidents!J:J,"RPR",Incidents!A:A,"2017-*")</f>
        <v>2</v>
      </c>
      <c r="D11" s="8" t="n">
        <f aca="false">COUNTIFS(Incidents!J:J,"RPR",Incidents!A:A,"2018-*")</f>
        <v>0</v>
      </c>
      <c r="E11" s="8" t="n">
        <f aca="false">COUNTIFS(Incidents!J:J,"RPR",Incidents!A:A,"2019-*")</f>
        <v>0</v>
      </c>
      <c r="F11" s="8" t="n">
        <f aca="false">COUNTIFS(Incidents!J:J,"RPR",Incidents!A:A,"2020-*")</f>
        <v>0</v>
      </c>
      <c r="G11" s="8" t="n">
        <f aca="false">COUNTIFS(Incidents!J:J,"RPR",Incidents!A:A,"2021-*")</f>
        <v>1</v>
      </c>
      <c r="H11" s="8" t="n">
        <f aca="false">COUNTIFS(Incidents!J:J,"RPR",Incidents!A:A,"2022-*")</f>
        <v>0</v>
      </c>
      <c r="I11" s="8" t="n">
        <f aca="false">COUNTIFS(Incidents!J:J,"RPR",Incidents!A:A,"2023-*")</f>
        <v>0</v>
      </c>
      <c r="J11" s="8" t="n">
        <f aca="false">COUNTIFS(Incidents!J:J,"RPR",Incidents!A:A,"2024-*")</f>
        <v>0</v>
      </c>
      <c r="K11" s="8" t="n">
        <f aca="false">COUNTIFS(Incidents!J:J,"RPR",Incidents!A:A,"2025-*")</f>
        <v>0</v>
      </c>
      <c r="L11" s="8" t="n">
        <f aca="false">SUM(B11:K11)</f>
        <v>3</v>
      </c>
    </row>
    <row r="12" customFormat="false" ht="15" hidden="false" customHeight="false" outlineLevel="0" collapsed="false">
      <c r="A12" s="8" t="s">
        <v>137</v>
      </c>
      <c r="B12" s="8" t="n">
        <f aca="false">COUNTIFS(Incidents!J:J,"PNQ",Incidents!A:A,"2016-*")</f>
        <v>0</v>
      </c>
      <c r="C12" s="8" t="n">
        <f aca="false">COUNTIFS(Incidents!J:J,"PNQ",Incidents!A:A,"2017-*")</f>
        <v>1</v>
      </c>
      <c r="D12" s="8" t="n">
        <f aca="false">COUNTIFS(Incidents!J:J,"PNQ",Incidents!A:A,"2018-*")</f>
        <v>0</v>
      </c>
      <c r="E12" s="8" t="n">
        <f aca="false">COUNTIFS(Incidents!J:J,"PNQ",Incidents!A:A,"2019-*")</f>
        <v>0</v>
      </c>
      <c r="F12" s="8" t="n">
        <f aca="false">COUNTIFS(Incidents!J:J,"PNQ",Incidents!A:A,"2020-*")</f>
        <v>1</v>
      </c>
      <c r="G12" s="8" t="n">
        <f aca="false">COUNTIFS(Incidents!J:J,"PNQ",Incidents!A:A,"2021-*")</f>
        <v>0</v>
      </c>
      <c r="H12" s="8" t="n">
        <f aca="false">COUNTIFS(Incidents!J:J,"PNQ",Incidents!A:A,"2022-*")</f>
        <v>0</v>
      </c>
      <c r="I12" s="8" t="n">
        <f aca="false">COUNTIFS(Incidents!J:J,"PNQ",Incidents!A:A,"2023-*")</f>
        <v>0</v>
      </c>
      <c r="J12" s="8" t="n">
        <f aca="false">COUNTIFS(Incidents!J:J,"PNQ",Incidents!A:A,"2024-*")</f>
        <v>1</v>
      </c>
      <c r="K12" s="8" t="n">
        <f aca="false">COUNTIFS(Incidents!J:J,"PNQ",Incidents!A:A,"2025-*")</f>
        <v>0</v>
      </c>
      <c r="L12" s="8" t="n">
        <f aca="false">SUM(B12:K12)</f>
        <v>3</v>
      </c>
    </row>
    <row r="13" customFormat="false" ht="15" hidden="false" customHeight="false" outlineLevel="0" collapsed="false">
      <c r="A13" s="8" t="s">
        <v>145</v>
      </c>
      <c r="B13" s="8" t="n">
        <f aca="false">COUNTIFS(Incidents!J:J,"HYD",Incidents!A:A,"2016-*")</f>
        <v>0</v>
      </c>
      <c r="C13" s="8" t="n">
        <f aca="false">COUNTIFS(Incidents!J:J,"HYD",Incidents!A:A,"2017-*")</f>
        <v>1</v>
      </c>
      <c r="D13" s="8" t="n">
        <f aca="false">COUNTIFS(Incidents!J:J,"HYD",Incidents!A:A,"2018-*")</f>
        <v>1</v>
      </c>
      <c r="E13" s="8" t="n">
        <f aca="false">COUNTIFS(Incidents!J:J,"HYD",Incidents!A:A,"2019-*")</f>
        <v>0</v>
      </c>
      <c r="F13" s="8" t="n">
        <f aca="false">COUNTIFS(Incidents!J:J,"HYD",Incidents!A:A,"2020-*")</f>
        <v>0</v>
      </c>
      <c r="G13" s="8" t="n">
        <f aca="false">COUNTIFS(Incidents!J:J,"HYD",Incidents!A:A,"2021-*")</f>
        <v>1</v>
      </c>
      <c r="H13" s="8" t="n">
        <f aca="false">COUNTIFS(Incidents!J:J,"HYD",Incidents!A:A,"2022-*")</f>
        <v>0</v>
      </c>
      <c r="I13" s="8" t="n">
        <f aca="false">COUNTIFS(Incidents!J:J,"HYD",Incidents!A:A,"2023-*")</f>
        <v>0</v>
      </c>
      <c r="J13" s="8" t="n">
        <f aca="false">COUNTIFS(Incidents!J:J,"HYD",Incidents!A:A,"2024-*")</f>
        <v>0</v>
      </c>
      <c r="K13" s="8" t="n">
        <f aca="false">COUNTIFS(Incidents!J:J,"HYD",Incidents!A:A,"2025-*")</f>
        <v>0</v>
      </c>
      <c r="L13" s="8" t="n">
        <f aca="false">SUM(B13:K13)</f>
        <v>3</v>
      </c>
    </row>
    <row r="14" customFormat="false" ht="15" hidden="false" customHeight="false" outlineLevel="0" collapsed="false">
      <c r="A14" s="8" t="s">
        <v>160</v>
      </c>
      <c r="B14" s="8" t="n">
        <f aca="false">COUNTIFS(Incidents!J:J,"IXE",Incidents!A:A,"2016-*")</f>
        <v>0</v>
      </c>
      <c r="C14" s="8" t="n">
        <f aca="false">COUNTIFS(Incidents!J:J,"IXE",Incidents!A:A,"2017-*")</f>
        <v>1</v>
      </c>
      <c r="D14" s="8" t="n">
        <f aca="false">COUNTIFS(Incidents!J:J,"IXE",Incidents!A:A,"2018-*")</f>
        <v>0</v>
      </c>
      <c r="E14" s="8" t="n">
        <f aca="false">COUNTIFS(Incidents!J:J,"IXE",Incidents!A:A,"2019-*")</f>
        <v>1</v>
      </c>
      <c r="F14" s="8" t="n">
        <f aca="false">COUNTIFS(Incidents!J:J,"IXE",Incidents!A:A,"2020-*")</f>
        <v>0</v>
      </c>
      <c r="G14" s="8" t="n">
        <f aca="false">COUNTIFS(Incidents!J:J,"IXE",Incidents!A:A,"2021-*")</f>
        <v>0</v>
      </c>
      <c r="H14" s="8" t="n">
        <f aca="false">COUNTIFS(Incidents!J:J,"IXE",Incidents!A:A,"2022-*")</f>
        <v>0</v>
      </c>
      <c r="I14" s="8" t="n">
        <f aca="false">COUNTIFS(Incidents!J:J,"IXE",Incidents!A:A,"2023-*")</f>
        <v>1</v>
      </c>
      <c r="J14" s="8" t="n">
        <f aca="false">COUNTIFS(Incidents!J:J,"IXE",Incidents!A:A,"2024-*")</f>
        <v>0</v>
      </c>
      <c r="K14" s="8" t="n">
        <f aca="false">COUNTIFS(Incidents!J:J,"IXE",Incidents!A:A,"2025-*")</f>
        <v>0</v>
      </c>
      <c r="L14" s="8" t="n">
        <f aca="false">SUM(B14:K14)</f>
        <v>3</v>
      </c>
    </row>
    <row r="15" customFormat="false" ht="15" hidden="false" customHeight="false" outlineLevel="0" collapsed="false">
      <c r="A15" s="8" t="s">
        <v>198</v>
      </c>
      <c r="B15" s="8" t="n">
        <f aca="false">COUNTIFS(Incidents!J:J,"STV",Incidents!A:A,"2016-*")</f>
        <v>0</v>
      </c>
      <c r="C15" s="8" t="n">
        <f aca="false">COUNTIFS(Incidents!J:J,"STV",Incidents!A:A,"2017-*")</f>
        <v>1</v>
      </c>
      <c r="D15" s="8" t="n">
        <f aca="false">COUNTIFS(Incidents!J:J,"STV",Incidents!A:A,"2018-*")</f>
        <v>0</v>
      </c>
      <c r="E15" s="8" t="n">
        <f aca="false">COUNTIFS(Incidents!J:J,"STV",Incidents!A:A,"2019-*")</f>
        <v>1</v>
      </c>
      <c r="F15" s="8" t="n">
        <f aca="false">COUNTIFS(Incidents!J:J,"STV",Incidents!A:A,"2020-*")</f>
        <v>0</v>
      </c>
      <c r="G15" s="8" t="n">
        <f aca="false">COUNTIFS(Incidents!J:J,"STV",Incidents!A:A,"2021-*")</f>
        <v>0</v>
      </c>
      <c r="H15" s="8" t="n">
        <f aca="false">COUNTIFS(Incidents!J:J,"STV",Incidents!A:A,"2022-*")</f>
        <v>0</v>
      </c>
      <c r="I15" s="8" t="n">
        <f aca="false">COUNTIFS(Incidents!J:J,"STV",Incidents!A:A,"2023-*")</f>
        <v>1</v>
      </c>
      <c r="J15" s="8" t="n">
        <f aca="false">COUNTIFS(Incidents!J:J,"STV",Incidents!A:A,"2024-*")</f>
        <v>0</v>
      </c>
      <c r="K15" s="8" t="n">
        <f aca="false">COUNTIFS(Incidents!J:J,"STV",Incidents!A:A,"2025-*")</f>
        <v>0</v>
      </c>
      <c r="L15" s="8" t="n">
        <f aca="false">SUM(B15:K15)</f>
        <v>3</v>
      </c>
    </row>
    <row r="16" customFormat="false" ht="15" hidden="false" customHeight="false" outlineLevel="0" collapsed="false">
      <c r="A16" s="8" t="s">
        <v>259</v>
      </c>
      <c r="B16" s="8" t="n">
        <f aca="false">COUNTIFS(Incidents!J:J,"BBI",Incidents!A:A,"2016-*")</f>
        <v>0</v>
      </c>
      <c r="C16" s="8" t="n">
        <f aca="false">COUNTIFS(Incidents!J:J,"BBI",Incidents!A:A,"2017-*")</f>
        <v>0</v>
      </c>
      <c r="D16" s="8" t="n">
        <f aca="false">COUNTIFS(Incidents!J:J,"BBI",Incidents!A:A,"2018-*")</f>
        <v>0</v>
      </c>
      <c r="E16" s="8" t="n">
        <f aca="false">COUNTIFS(Incidents!J:J,"BBI",Incidents!A:A,"2019-*")</f>
        <v>1</v>
      </c>
      <c r="F16" s="8" t="n">
        <f aca="false">COUNTIFS(Incidents!J:J,"BBI",Incidents!A:A,"2020-*")</f>
        <v>0</v>
      </c>
      <c r="G16" s="8" t="n">
        <f aca="false">COUNTIFS(Incidents!J:J,"BBI",Incidents!A:A,"2021-*")</f>
        <v>0</v>
      </c>
      <c r="H16" s="8" t="n">
        <f aca="false">COUNTIFS(Incidents!J:J,"BBI",Incidents!A:A,"2022-*")</f>
        <v>0</v>
      </c>
      <c r="I16" s="8" t="n">
        <f aca="false">COUNTIFS(Incidents!J:J,"BBI",Incidents!A:A,"2023-*")</f>
        <v>0</v>
      </c>
      <c r="J16" s="8" t="n">
        <f aca="false">COUNTIFS(Incidents!J:J,"BBI",Incidents!A:A,"2024-*")</f>
        <v>1</v>
      </c>
      <c r="K16" s="8" t="n">
        <f aca="false">COUNTIFS(Incidents!J:J,"BBI",Incidents!A:A,"2025-*")</f>
        <v>1</v>
      </c>
      <c r="L16" s="8" t="n">
        <f aca="false">SUM(B16:K16)</f>
        <v>3</v>
      </c>
    </row>
    <row r="17" customFormat="false" ht="15" hidden="false" customHeight="false" outlineLevel="0" collapsed="false">
      <c r="A17" s="8" t="s">
        <v>292</v>
      </c>
      <c r="B17" s="8" t="n">
        <f aca="false">COUNTIFS(Incidents!J:J,"CCJ",Incidents!A:A,"2016-*")</f>
        <v>0</v>
      </c>
      <c r="C17" s="8" t="n">
        <f aca="false">COUNTIFS(Incidents!J:J,"CCJ",Incidents!A:A,"2017-*")</f>
        <v>0</v>
      </c>
      <c r="D17" s="8" t="n">
        <f aca="false">COUNTIFS(Incidents!J:J,"CCJ",Incidents!A:A,"2018-*")</f>
        <v>0</v>
      </c>
      <c r="E17" s="8" t="n">
        <f aca="false">COUNTIFS(Incidents!J:J,"CCJ",Incidents!A:A,"2019-*")</f>
        <v>1</v>
      </c>
      <c r="F17" s="8" t="n">
        <f aca="false">COUNTIFS(Incidents!J:J,"CCJ",Incidents!A:A,"2020-*")</f>
        <v>1</v>
      </c>
      <c r="G17" s="8" t="n">
        <f aca="false">COUNTIFS(Incidents!J:J,"CCJ",Incidents!A:A,"2021-*")</f>
        <v>0</v>
      </c>
      <c r="H17" s="8" t="n">
        <f aca="false">COUNTIFS(Incidents!J:J,"CCJ",Incidents!A:A,"2022-*")</f>
        <v>0</v>
      </c>
      <c r="I17" s="8" t="n">
        <f aca="false">COUNTIFS(Incidents!J:J,"CCJ",Incidents!A:A,"2023-*")</f>
        <v>1</v>
      </c>
      <c r="J17" s="8" t="n">
        <f aca="false">COUNTIFS(Incidents!J:J,"CCJ",Incidents!A:A,"2024-*")</f>
        <v>0</v>
      </c>
      <c r="K17" s="8" t="n">
        <f aca="false">COUNTIFS(Incidents!J:J,"CCJ",Incidents!A:A,"2025-*")</f>
        <v>0</v>
      </c>
      <c r="L17" s="8" t="n">
        <f aca="false">SUM(B17:K17)</f>
        <v>3</v>
      </c>
    </row>
    <row r="18" customFormat="false" ht="15" hidden="false" customHeight="false" outlineLevel="0" collapsed="false">
      <c r="A18" s="8" t="s">
        <v>192</v>
      </c>
      <c r="B18" s="8" t="n">
        <f aca="false">COUNTIFS(Incidents!J:J,"IXC",Incidents!A:A,"2016-*")</f>
        <v>0</v>
      </c>
      <c r="C18" s="8" t="n">
        <f aca="false">COUNTIFS(Incidents!J:J,"IXC",Incidents!A:A,"2017-*")</f>
        <v>1</v>
      </c>
      <c r="D18" s="8" t="n">
        <f aca="false">COUNTIFS(Incidents!J:J,"IXC",Incidents!A:A,"2018-*")</f>
        <v>0</v>
      </c>
      <c r="E18" s="8" t="n">
        <f aca="false">COUNTIFS(Incidents!J:J,"IXC",Incidents!A:A,"2019-*")</f>
        <v>0</v>
      </c>
      <c r="F18" s="8" t="n">
        <f aca="false">COUNTIFS(Incidents!J:J,"IXC",Incidents!A:A,"2020-*")</f>
        <v>0</v>
      </c>
      <c r="G18" s="8" t="n">
        <f aca="false">COUNTIFS(Incidents!J:J,"IXC",Incidents!A:A,"2021-*")</f>
        <v>0</v>
      </c>
      <c r="H18" s="8" t="n">
        <f aca="false">COUNTIFS(Incidents!J:J,"IXC",Incidents!A:A,"2022-*")</f>
        <v>0</v>
      </c>
      <c r="I18" s="8" t="n">
        <f aca="false">COUNTIFS(Incidents!J:J,"IXC",Incidents!A:A,"2023-*")</f>
        <v>0</v>
      </c>
      <c r="J18" s="8" t="n">
        <f aca="false">COUNTIFS(Incidents!J:J,"IXC",Incidents!A:A,"2024-*")</f>
        <v>0</v>
      </c>
      <c r="K18" s="8" t="n">
        <f aca="false">COUNTIFS(Incidents!J:J,"IXC",Incidents!A:A,"2025-*")</f>
        <v>1</v>
      </c>
      <c r="L18" s="8" t="n">
        <f aca="false">SUM(B18:K18)</f>
        <v>2</v>
      </c>
    </row>
    <row r="19" customFormat="false" ht="15" hidden="false" customHeight="false" outlineLevel="0" collapsed="false">
      <c r="A19" s="8" t="s">
        <v>210</v>
      </c>
      <c r="B19" s="8" t="n">
        <f aca="false">COUNTIFS(Incidents!J:J,"SAG",Incidents!A:A,"2016-*")</f>
        <v>0</v>
      </c>
      <c r="C19" s="8" t="n">
        <f aca="false">COUNTIFS(Incidents!J:J,"SAG",Incidents!A:A,"2017-*")</f>
        <v>0</v>
      </c>
      <c r="D19" s="8" t="n">
        <f aca="false">COUNTIFS(Incidents!J:J,"SAG",Incidents!A:A,"2018-*")</f>
        <v>1</v>
      </c>
      <c r="E19" s="8" t="n">
        <f aca="false">COUNTIFS(Incidents!J:J,"SAG",Incidents!A:A,"2019-*")</f>
        <v>1</v>
      </c>
      <c r="F19" s="8" t="n">
        <f aca="false">COUNTIFS(Incidents!J:J,"SAG",Incidents!A:A,"2020-*")</f>
        <v>0</v>
      </c>
      <c r="G19" s="8" t="n">
        <f aca="false">COUNTIFS(Incidents!J:J,"SAG",Incidents!A:A,"2021-*")</f>
        <v>0</v>
      </c>
      <c r="H19" s="8" t="n">
        <f aca="false">COUNTIFS(Incidents!J:J,"SAG",Incidents!A:A,"2022-*")</f>
        <v>0</v>
      </c>
      <c r="I19" s="8" t="n">
        <f aca="false">COUNTIFS(Incidents!J:J,"SAG",Incidents!A:A,"2023-*")</f>
        <v>0</v>
      </c>
      <c r="J19" s="8" t="n">
        <f aca="false">COUNTIFS(Incidents!J:J,"SAG",Incidents!A:A,"2024-*")</f>
        <v>0</v>
      </c>
      <c r="K19" s="8" t="n">
        <f aca="false">COUNTIFS(Incidents!J:J,"SAG",Incidents!A:A,"2025-*")</f>
        <v>0</v>
      </c>
      <c r="L19" s="8" t="n">
        <f aca="false">SUM(B19:K19)</f>
        <v>2</v>
      </c>
    </row>
    <row r="20" customFormat="false" ht="15" hidden="false" customHeight="false" outlineLevel="0" collapsed="false">
      <c r="A20" s="8" t="s">
        <v>391</v>
      </c>
      <c r="B20" s="8" t="n">
        <f aca="false">COUNTIFS(Incidents!J:J,"SXR",Incidents!A:A,"2016-*")</f>
        <v>0</v>
      </c>
      <c r="C20" s="8" t="n">
        <f aca="false">COUNTIFS(Incidents!J:J,"SXR",Incidents!A:A,"2017-*")</f>
        <v>0</v>
      </c>
      <c r="D20" s="8" t="n">
        <f aca="false">COUNTIFS(Incidents!J:J,"SXR",Incidents!A:A,"2018-*")</f>
        <v>0</v>
      </c>
      <c r="E20" s="8" t="n">
        <f aca="false">COUNTIFS(Incidents!J:J,"SXR",Incidents!A:A,"2019-*")</f>
        <v>0</v>
      </c>
      <c r="F20" s="8" t="n">
        <f aca="false">COUNTIFS(Incidents!J:J,"SXR",Incidents!A:A,"2020-*")</f>
        <v>0</v>
      </c>
      <c r="G20" s="8" t="n">
        <f aca="false">COUNTIFS(Incidents!J:J,"SXR",Incidents!A:A,"2021-*")</f>
        <v>1</v>
      </c>
      <c r="H20" s="8" t="n">
        <f aca="false">COUNTIFS(Incidents!J:J,"SXR",Incidents!A:A,"2022-*")</f>
        <v>0</v>
      </c>
      <c r="I20" s="8" t="n">
        <f aca="false">COUNTIFS(Incidents!J:J,"SXR",Incidents!A:A,"2023-*")</f>
        <v>0</v>
      </c>
      <c r="J20" s="8" t="n">
        <f aca="false">COUNTIFS(Incidents!J:J,"SXR",Incidents!A:A,"2024-*")</f>
        <v>1</v>
      </c>
      <c r="K20" s="8" t="n">
        <f aca="false">COUNTIFS(Incidents!J:J,"SXR",Incidents!A:A,"2025-*")</f>
        <v>0</v>
      </c>
      <c r="L20" s="8" t="n">
        <f aca="false">SUM(B20:K20)</f>
        <v>2</v>
      </c>
    </row>
    <row r="21" customFormat="false" ht="15" hidden="false" customHeight="false" outlineLevel="0" collapsed="false">
      <c r="A21" s="8" t="s">
        <v>509</v>
      </c>
      <c r="B21" s="8" t="n">
        <f aca="false">COUNTIFS(Incidents!J:J,"NAG",Incidents!A:A,"2016-*")</f>
        <v>0</v>
      </c>
      <c r="C21" s="8" t="n">
        <f aca="false">COUNTIFS(Incidents!J:J,"NAG",Incidents!A:A,"2017-*")</f>
        <v>0</v>
      </c>
      <c r="D21" s="8" t="n">
        <f aca="false">COUNTIFS(Incidents!J:J,"NAG",Incidents!A:A,"2018-*")</f>
        <v>0</v>
      </c>
      <c r="E21" s="8" t="n">
        <f aca="false">COUNTIFS(Incidents!J:J,"NAG",Incidents!A:A,"2019-*")</f>
        <v>0</v>
      </c>
      <c r="F21" s="8" t="n">
        <f aca="false">COUNTIFS(Incidents!J:J,"NAG",Incidents!A:A,"2020-*")</f>
        <v>0</v>
      </c>
      <c r="G21" s="8" t="n">
        <f aca="false">COUNTIFS(Incidents!J:J,"NAG",Incidents!A:A,"2021-*")</f>
        <v>0</v>
      </c>
      <c r="H21" s="8" t="n">
        <f aca="false">COUNTIFS(Incidents!J:J,"NAG",Incidents!A:A,"2022-*")</f>
        <v>1</v>
      </c>
      <c r="I21" s="8" t="n">
        <f aca="false">COUNTIFS(Incidents!J:J,"NAG",Incidents!A:A,"2023-*")</f>
        <v>1</v>
      </c>
      <c r="J21" s="8" t="n">
        <f aca="false">COUNTIFS(Incidents!J:J,"NAG",Incidents!A:A,"2024-*")</f>
        <v>0</v>
      </c>
      <c r="K21" s="8" t="n">
        <f aca="false">COUNTIFS(Incidents!J:J,"NAG",Incidents!A:A,"2025-*")</f>
        <v>0</v>
      </c>
      <c r="L21" s="8" t="n">
        <f aca="false">SUM(B21:K21)</f>
        <v>2</v>
      </c>
    </row>
    <row r="22" customFormat="false" ht="15" hidden="false" customHeight="false" outlineLevel="0" collapsed="false">
      <c r="A22" s="8" t="s">
        <v>545</v>
      </c>
      <c r="B22" s="8" t="n">
        <f aca="false">COUNTIFS(Incidents!J:J,"TRV",Incidents!A:A,"2016-*")</f>
        <v>0</v>
      </c>
      <c r="C22" s="8" t="n">
        <f aca="false">COUNTIFS(Incidents!J:J,"TRV",Incidents!A:A,"2017-*")</f>
        <v>0</v>
      </c>
      <c r="D22" s="8" t="n">
        <f aca="false">COUNTIFS(Incidents!J:J,"TRV",Incidents!A:A,"2018-*")</f>
        <v>0</v>
      </c>
      <c r="E22" s="8" t="n">
        <f aca="false">COUNTIFS(Incidents!J:J,"TRV",Incidents!A:A,"2019-*")</f>
        <v>0</v>
      </c>
      <c r="F22" s="8" t="n">
        <f aca="false">COUNTIFS(Incidents!J:J,"TRV",Incidents!A:A,"2020-*")</f>
        <v>0</v>
      </c>
      <c r="G22" s="8" t="n">
        <f aca="false">COUNTIFS(Incidents!J:J,"TRV",Incidents!A:A,"2021-*")</f>
        <v>0</v>
      </c>
      <c r="H22" s="8" t="n">
        <f aca="false">COUNTIFS(Incidents!J:J,"TRV",Incidents!A:A,"2022-*")</f>
        <v>0</v>
      </c>
      <c r="I22" s="8" t="n">
        <f aca="false">COUNTIFS(Incidents!J:J,"TRV",Incidents!A:A,"2023-*")</f>
        <v>1</v>
      </c>
      <c r="J22" s="8" t="n">
        <f aca="false">COUNTIFS(Incidents!J:J,"TRV",Incidents!A:A,"2024-*")</f>
        <v>1</v>
      </c>
      <c r="K22" s="8" t="n">
        <f aca="false">COUNTIFS(Incidents!J:J,"TRV",Incidents!A:A,"2025-*")</f>
        <v>0</v>
      </c>
      <c r="L22" s="8" t="n">
        <f aca="false">SUM(B22:K22)</f>
        <v>2</v>
      </c>
    </row>
    <row r="23" customFormat="false" ht="15" hidden="false" customHeight="false" outlineLevel="0" collapsed="false">
      <c r="A23" s="8" t="s">
        <v>596</v>
      </c>
      <c r="B23" s="8" t="n">
        <f aca="false">COUNTIFS(Incidents!J:J,"BAM",Incidents!A:A,"2016-*")</f>
        <v>0</v>
      </c>
      <c r="C23" s="8" t="n">
        <f aca="false">COUNTIFS(Incidents!J:J,"BAM",Incidents!A:A,"2017-*")</f>
        <v>0</v>
      </c>
      <c r="D23" s="8" t="n">
        <f aca="false">COUNTIFS(Incidents!J:J,"BAM",Incidents!A:A,"2018-*")</f>
        <v>0</v>
      </c>
      <c r="E23" s="8" t="n">
        <f aca="false">COUNTIFS(Incidents!J:J,"BAM",Incidents!A:A,"2019-*")</f>
        <v>0</v>
      </c>
      <c r="F23" s="8" t="n">
        <f aca="false">COUNTIFS(Incidents!J:J,"BAM",Incidents!A:A,"2020-*")</f>
        <v>0</v>
      </c>
      <c r="G23" s="8" t="n">
        <f aca="false">COUNTIFS(Incidents!J:J,"BAM",Incidents!A:A,"2021-*")</f>
        <v>0</v>
      </c>
      <c r="H23" s="8" t="n">
        <f aca="false">COUNTIFS(Incidents!J:J,"BAM",Incidents!A:A,"2022-*")</f>
        <v>0</v>
      </c>
      <c r="I23" s="8" t="n">
        <f aca="false">COUNTIFS(Incidents!J:J,"BAM",Incidents!A:A,"2023-*")</f>
        <v>2</v>
      </c>
      <c r="J23" s="8" t="n">
        <f aca="false">COUNTIFS(Incidents!J:J,"BAM",Incidents!A:A,"2024-*")</f>
        <v>0</v>
      </c>
      <c r="K23" s="8" t="n">
        <f aca="false">COUNTIFS(Incidents!J:J,"BAM",Incidents!A:A,"2025-*")</f>
        <v>0</v>
      </c>
      <c r="L23" s="8" t="n">
        <f aca="false">SUM(B23:K23)</f>
        <v>2</v>
      </c>
    </row>
    <row r="24" customFormat="false" ht="15" hidden="false" customHeight="false" outlineLevel="0" collapsed="false">
      <c r="A24" s="8" t="s">
        <v>72</v>
      </c>
      <c r="B24" s="8" t="n">
        <f aca="false">COUNTIFS(Incidents!J:J,"IDR",Incidents!A:A,"2016-*")</f>
        <v>1</v>
      </c>
      <c r="C24" s="8" t="n">
        <f aca="false">COUNTIFS(Incidents!J:J,"IDR",Incidents!A:A,"2017-*")</f>
        <v>0</v>
      </c>
      <c r="D24" s="8" t="n">
        <f aca="false">COUNTIFS(Incidents!J:J,"IDR",Incidents!A:A,"2018-*")</f>
        <v>0</v>
      </c>
      <c r="E24" s="8" t="n">
        <f aca="false">COUNTIFS(Incidents!J:J,"IDR",Incidents!A:A,"2019-*")</f>
        <v>0</v>
      </c>
      <c r="F24" s="8" t="n">
        <f aca="false">COUNTIFS(Incidents!J:J,"IDR",Incidents!A:A,"2020-*")</f>
        <v>0</v>
      </c>
      <c r="G24" s="8" t="n">
        <f aca="false">COUNTIFS(Incidents!J:J,"IDR",Incidents!A:A,"2021-*")</f>
        <v>0</v>
      </c>
      <c r="H24" s="8" t="n">
        <f aca="false">COUNTIFS(Incidents!J:J,"IDR",Incidents!A:A,"2022-*")</f>
        <v>0</v>
      </c>
      <c r="I24" s="8" t="n">
        <f aca="false">COUNTIFS(Incidents!J:J,"IDR",Incidents!A:A,"2023-*")</f>
        <v>0</v>
      </c>
      <c r="J24" s="8" t="n">
        <f aca="false">COUNTIFS(Incidents!J:J,"IDR",Incidents!A:A,"2024-*")</f>
        <v>0</v>
      </c>
      <c r="K24" s="8" t="n">
        <f aca="false">COUNTIFS(Incidents!J:J,"IDR",Incidents!A:A,"2025-*")</f>
        <v>0</v>
      </c>
      <c r="L24" s="8" t="n">
        <f aca="false">SUM(B24:K24)</f>
        <v>1</v>
      </c>
    </row>
    <row r="25" customFormat="false" ht="15" hidden="false" customHeight="false" outlineLevel="0" collapsed="false">
      <c r="A25" s="8" t="s">
        <v>87</v>
      </c>
      <c r="B25" s="8" t="n">
        <f aca="false">COUNTIFS(Incidents!J:J,"TIR",Incidents!A:A,"2016-*")</f>
        <v>1</v>
      </c>
      <c r="C25" s="8" t="n">
        <f aca="false">COUNTIFS(Incidents!J:J,"TIR",Incidents!A:A,"2017-*")</f>
        <v>0</v>
      </c>
      <c r="D25" s="8" t="n">
        <f aca="false">COUNTIFS(Incidents!J:J,"TIR",Incidents!A:A,"2018-*")</f>
        <v>0</v>
      </c>
      <c r="E25" s="8" t="n">
        <f aca="false">COUNTIFS(Incidents!J:J,"TIR",Incidents!A:A,"2019-*")</f>
        <v>0</v>
      </c>
      <c r="F25" s="8" t="n">
        <f aca="false">COUNTIFS(Incidents!J:J,"TIR",Incidents!A:A,"2020-*")</f>
        <v>0</v>
      </c>
      <c r="G25" s="8" t="n">
        <f aca="false">COUNTIFS(Incidents!J:J,"TIR",Incidents!A:A,"2021-*")</f>
        <v>0</v>
      </c>
      <c r="H25" s="8" t="n">
        <f aca="false">COUNTIFS(Incidents!J:J,"TIR",Incidents!A:A,"2022-*")</f>
        <v>0</v>
      </c>
      <c r="I25" s="8" t="n">
        <f aca="false">COUNTIFS(Incidents!J:J,"TIR",Incidents!A:A,"2023-*")</f>
        <v>0</v>
      </c>
      <c r="J25" s="8" t="n">
        <f aca="false">COUNTIFS(Incidents!J:J,"TIR",Incidents!A:A,"2024-*")</f>
        <v>0</v>
      </c>
      <c r="K25" s="8" t="n">
        <f aca="false">COUNTIFS(Incidents!J:J,"TIR",Incidents!A:A,"2025-*")</f>
        <v>0</v>
      </c>
      <c r="L25" s="8" t="n">
        <f aca="false">SUM(B25:K25)</f>
        <v>1</v>
      </c>
    </row>
    <row r="26" customFormat="false" ht="15" hidden="false" customHeight="false" outlineLevel="0" collapsed="false">
      <c r="A26" s="8" t="s">
        <v>113</v>
      </c>
      <c r="B26" s="8" t="n">
        <f aca="false">COUNTIFS(Incidents!J:J,"IXJ",Incidents!A:A,"2016-*")</f>
        <v>0</v>
      </c>
      <c r="C26" s="8" t="n">
        <f aca="false">COUNTIFS(Incidents!J:J,"IXJ",Incidents!A:A,"2017-*")</f>
        <v>1</v>
      </c>
      <c r="D26" s="8" t="n">
        <f aca="false">COUNTIFS(Incidents!J:J,"IXJ",Incidents!A:A,"2018-*")</f>
        <v>0</v>
      </c>
      <c r="E26" s="8" t="n">
        <f aca="false">COUNTIFS(Incidents!J:J,"IXJ",Incidents!A:A,"2019-*")</f>
        <v>0</v>
      </c>
      <c r="F26" s="8" t="n">
        <f aca="false">COUNTIFS(Incidents!J:J,"IXJ",Incidents!A:A,"2020-*")</f>
        <v>0</v>
      </c>
      <c r="G26" s="8" t="n">
        <f aca="false">COUNTIFS(Incidents!J:J,"IXJ",Incidents!A:A,"2021-*")</f>
        <v>0</v>
      </c>
      <c r="H26" s="8" t="n">
        <f aca="false">COUNTIFS(Incidents!J:J,"IXJ",Incidents!A:A,"2022-*")</f>
        <v>0</v>
      </c>
      <c r="I26" s="8" t="n">
        <f aca="false">COUNTIFS(Incidents!J:J,"IXJ",Incidents!A:A,"2023-*")</f>
        <v>0</v>
      </c>
      <c r="J26" s="8" t="n">
        <f aca="false">COUNTIFS(Incidents!J:J,"IXJ",Incidents!A:A,"2024-*")</f>
        <v>0</v>
      </c>
      <c r="K26" s="8" t="n">
        <f aca="false">COUNTIFS(Incidents!J:J,"IXJ",Incidents!A:A,"2025-*")</f>
        <v>0</v>
      </c>
      <c r="L26" s="8" t="n">
        <f aca="false">SUM(B26:K26)</f>
        <v>1</v>
      </c>
    </row>
    <row r="27" customFormat="false" ht="15" hidden="false" customHeight="false" outlineLevel="0" collapsed="false">
      <c r="A27" s="8" t="s">
        <v>233</v>
      </c>
      <c r="B27" s="8" t="n">
        <f aca="false">COUNTIFS(Incidents!J:J,"TRZ",Incidents!A:A,"2016-*")</f>
        <v>0</v>
      </c>
      <c r="C27" s="8" t="n">
        <f aca="false">COUNTIFS(Incidents!J:J,"TRZ",Incidents!A:A,"2017-*")</f>
        <v>0</v>
      </c>
      <c r="D27" s="8" t="n">
        <f aca="false">COUNTIFS(Incidents!J:J,"TRZ",Incidents!A:A,"2018-*")</f>
        <v>1</v>
      </c>
      <c r="E27" s="8" t="n">
        <f aca="false">COUNTIFS(Incidents!J:J,"TRZ",Incidents!A:A,"2019-*")</f>
        <v>0</v>
      </c>
      <c r="F27" s="8" t="n">
        <f aca="false">COUNTIFS(Incidents!J:J,"TRZ",Incidents!A:A,"2020-*")</f>
        <v>0</v>
      </c>
      <c r="G27" s="8" t="n">
        <f aca="false">COUNTIFS(Incidents!J:J,"TRZ",Incidents!A:A,"2021-*")</f>
        <v>0</v>
      </c>
      <c r="H27" s="8" t="n">
        <f aca="false">COUNTIFS(Incidents!J:J,"TRZ",Incidents!A:A,"2022-*")</f>
        <v>0</v>
      </c>
      <c r="I27" s="8" t="n">
        <f aca="false">COUNTIFS(Incidents!J:J,"TRZ",Incidents!A:A,"2023-*")</f>
        <v>0</v>
      </c>
      <c r="J27" s="8" t="n">
        <f aca="false">COUNTIFS(Incidents!J:J,"TRZ",Incidents!A:A,"2024-*")</f>
        <v>0</v>
      </c>
      <c r="K27" s="8" t="n">
        <f aca="false">COUNTIFS(Incidents!J:J,"TRZ",Incidents!A:A,"2025-*")</f>
        <v>0</v>
      </c>
      <c r="L27" s="8" t="n">
        <f aca="false">SUM(B27:K27)</f>
        <v>1</v>
      </c>
    </row>
    <row r="28" customFormat="false" ht="15" hidden="false" customHeight="false" outlineLevel="0" collapsed="false">
      <c r="A28" s="8" t="s">
        <v>246</v>
      </c>
      <c r="B28" s="8" t="n">
        <f aca="false">COUNTIFS(Incidents!J:J,"DIU",Incidents!A:A,"2016-*")</f>
        <v>0</v>
      </c>
      <c r="C28" s="8" t="n">
        <f aca="false">COUNTIFS(Incidents!J:J,"DIU",Incidents!A:A,"2017-*")</f>
        <v>0</v>
      </c>
      <c r="D28" s="8" t="n">
        <f aca="false">COUNTIFS(Incidents!J:J,"DIU",Incidents!A:A,"2018-*")</f>
        <v>0</v>
      </c>
      <c r="E28" s="8" t="n">
        <f aca="false">COUNTIFS(Incidents!J:J,"DIU",Incidents!A:A,"2019-*")</f>
        <v>1</v>
      </c>
      <c r="F28" s="8" t="n">
        <f aca="false">COUNTIFS(Incidents!J:J,"DIU",Incidents!A:A,"2020-*")</f>
        <v>0</v>
      </c>
      <c r="G28" s="8" t="n">
        <f aca="false">COUNTIFS(Incidents!J:J,"DIU",Incidents!A:A,"2021-*")</f>
        <v>0</v>
      </c>
      <c r="H28" s="8" t="n">
        <f aca="false">COUNTIFS(Incidents!J:J,"DIU",Incidents!A:A,"2022-*")</f>
        <v>0</v>
      </c>
      <c r="I28" s="8" t="n">
        <f aca="false">COUNTIFS(Incidents!J:J,"DIU",Incidents!A:A,"2023-*")</f>
        <v>0</v>
      </c>
      <c r="J28" s="8" t="n">
        <f aca="false">COUNTIFS(Incidents!J:J,"DIU",Incidents!A:A,"2024-*")</f>
        <v>0</v>
      </c>
      <c r="K28" s="8" t="n">
        <f aca="false">COUNTIFS(Incidents!J:J,"DIU",Incidents!A:A,"2025-*")</f>
        <v>0</v>
      </c>
      <c r="L28" s="8" t="n">
        <f aca="false">SUM(B28:K28)</f>
        <v>1</v>
      </c>
    </row>
    <row r="29" customFormat="false" ht="15" hidden="false" customHeight="false" outlineLevel="0" collapsed="false">
      <c r="A29" s="8" t="s">
        <v>270</v>
      </c>
      <c r="B29" s="8" t="n">
        <f aca="false">COUNTIFS(Incidents!J:J,"JAI",Incidents!A:A,"2016-*")</f>
        <v>0</v>
      </c>
      <c r="C29" s="8" t="n">
        <f aca="false">COUNTIFS(Incidents!J:J,"JAI",Incidents!A:A,"2017-*")</f>
        <v>0</v>
      </c>
      <c r="D29" s="8" t="n">
        <f aca="false">COUNTIFS(Incidents!J:J,"JAI",Incidents!A:A,"2018-*")</f>
        <v>0</v>
      </c>
      <c r="E29" s="8" t="n">
        <f aca="false">COUNTIFS(Incidents!J:J,"JAI",Incidents!A:A,"2019-*")</f>
        <v>1</v>
      </c>
      <c r="F29" s="8" t="n">
        <f aca="false">COUNTIFS(Incidents!J:J,"JAI",Incidents!A:A,"2020-*")</f>
        <v>0</v>
      </c>
      <c r="G29" s="8" t="n">
        <f aca="false">COUNTIFS(Incidents!J:J,"JAI",Incidents!A:A,"2021-*")</f>
        <v>0</v>
      </c>
      <c r="H29" s="8" t="n">
        <f aca="false">COUNTIFS(Incidents!J:J,"JAI",Incidents!A:A,"2022-*")</f>
        <v>0</v>
      </c>
      <c r="I29" s="8" t="n">
        <f aca="false">COUNTIFS(Incidents!J:J,"JAI",Incidents!A:A,"2023-*")</f>
        <v>0</v>
      </c>
      <c r="J29" s="8" t="n">
        <f aca="false">COUNTIFS(Incidents!J:J,"JAI",Incidents!A:A,"2024-*")</f>
        <v>0</v>
      </c>
      <c r="K29" s="8" t="n">
        <f aca="false">COUNTIFS(Incidents!J:J,"JAI",Incidents!A:A,"2025-*")</f>
        <v>0</v>
      </c>
      <c r="L29" s="8" t="n">
        <f aca="false">SUM(B29:K29)</f>
        <v>1</v>
      </c>
    </row>
    <row r="30" customFormat="false" ht="15" hidden="false" customHeight="false" outlineLevel="0" collapsed="false">
      <c r="A30" s="8" t="s">
        <v>373</v>
      </c>
      <c r="B30" s="8" t="n">
        <f aca="false">COUNTIFS(Incidents!J:J,"VDY",Incidents!A:A,"2016-*")</f>
        <v>0</v>
      </c>
      <c r="C30" s="8" t="n">
        <f aca="false">COUNTIFS(Incidents!J:J,"VDY",Incidents!A:A,"2017-*")</f>
        <v>0</v>
      </c>
      <c r="D30" s="8" t="n">
        <f aca="false">COUNTIFS(Incidents!J:J,"VDY",Incidents!A:A,"2018-*")</f>
        <v>0</v>
      </c>
      <c r="E30" s="8" t="n">
        <f aca="false">COUNTIFS(Incidents!J:J,"VDY",Incidents!A:A,"2019-*")</f>
        <v>0</v>
      </c>
      <c r="F30" s="8" t="n">
        <f aca="false">COUNTIFS(Incidents!J:J,"VDY",Incidents!A:A,"2020-*")</f>
        <v>1</v>
      </c>
      <c r="G30" s="8" t="n">
        <f aca="false">COUNTIFS(Incidents!J:J,"VDY",Incidents!A:A,"2021-*")</f>
        <v>0</v>
      </c>
      <c r="H30" s="8" t="n">
        <f aca="false">COUNTIFS(Incidents!J:J,"VDY",Incidents!A:A,"2022-*")</f>
        <v>0</v>
      </c>
      <c r="I30" s="8" t="n">
        <f aca="false">COUNTIFS(Incidents!J:J,"VDY",Incidents!A:A,"2023-*")</f>
        <v>0</v>
      </c>
      <c r="J30" s="8" t="n">
        <f aca="false">COUNTIFS(Incidents!J:J,"VDY",Incidents!A:A,"2024-*")</f>
        <v>0</v>
      </c>
      <c r="K30" s="8" t="n">
        <f aca="false">COUNTIFS(Incidents!J:J,"VDY",Incidents!A:A,"2025-*")</f>
        <v>0</v>
      </c>
      <c r="L30" s="8" t="n">
        <f aca="false">SUM(B30:K30)</f>
        <v>1</v>
      </c>
    </row>
    <row r="31" customFormat="false" ht="15" hidden="false" customHeight="false" outlineLevel="0" collapsed="false">
      <c r="A31" s="8" t="s">
        <v>399</v>
      </c>
      <c r="B31" s="8" t="n">
        <f aca="false">COUNTIFS(Incidents!J:J,"DHM",Incidents!A:A,"2016-*")</f>
        <v>0</v>
      </c>
      <c r="C31" s="8" t="n">
        <f aca="false">COUNTIFS(Incidents!J:J,"DHM",Incidents!A:A,"2017-*")</f>
        <v>0</v>
      </c>
      <c r="D31" s="8" t="n">
        <f aca="false">COUNTIFS(Incidents!J:J,"DHM",Incidents!A:A,"2018-*")</f>
        <v>0</v>
      </c>
      <c r="E31" s="8" t="n">
        <f aca="false">COUNTIFS(Incidents!J:J,"DHM",Incidents!A:A,"2019-*")</f>
        <v>0</v>
      </c>
      <c r="F31" s="8" t="n">
        <f aca="false">COUNTIFS(Incidents!J:J,"DHM",Incidents!A:A,"2020-*")</f>
        <v>0</v>
      </c>
      <c r="G31" s="8" t="n">
        <f aca="false">COUNTIFS(Incidents!J:J,"DHM",Incidents!A:A,"2021-*")</f>
        <v>1</v>
      </c>
      <c r="H31" s="8" t="n">
        <f aca="false">COUNTIFS(Incidents!J:J,"DHM",Incidents!A:A,"2022-*")</f>
        <v>0</v>
      </c>
      <c r="I31" s="8" t="n">
        <f aca="false">COUNTIFS(Incidents!J:J,"DHM",Incidents!A:A,"2023-*")</f>
        <v>0</v>
      </c>
      <c r="J31" s="8" t="n">
        <f aca="false">COUNTIFS(Incidents!J:J,"DHM",Incidents!A:A,"2024-*")</f>
        <v>0</v>
      </c>
      <c r="K31" s="8" t="n">
        <f aca="false">COUNTIFS(Incidents!J:J,"DHM",Incidents!A:A,"2025-*")</f>
        <v>0</v>
      </c>
      <c r="L31" s="8" t="n">
        <f aca="false">SUM(B31:K31)</f>
        <v>1</v>
      </c>
    </row>
    <row r="32" customFormat="false" ht="15" hidden="false" customHeight="false" outlineLevel="0" collapsed="false">
      <c r="A32" s="8" t="s">
        <v>441</v>
      </c>
      <c r="B32" s="8" t="n">
        <f aca="false">COUNTIFS(Incidents!J:J,"IXG",Incidents!A:A,"2016-*")</f>
        <v>0</v>
      </c>
      <c r="C32" s="8" t="n">
        <f aca="false">COUNTIFS(Incidents!J:J,"IXG",Incidents!A:A,"2017-*")</f>
        <v>0</v>
      </c>
      <c r="D32" s="8" t="n">
        <f aca="false">COUNTIFS(Incidents!J:J,"IXG",Incidents!A:A,"2018-*")</f>
        <v>0</v>
      </c>
      <c r="E32" s="8" t="n">
        <f aca="false">COUNTIFS(Incidents!J:J,"IXG",Incidents!A:A,"2019-*")</f>
        <v>0</v>
      </c>
      <c r="F32" s="8" t="n">
        <f aca="false">COUNTIFS(Incidents!J:J,"IXG",Incidents!A:A,"2020-*")</f>
        <v>0</v>
      </c>
      <c r="G32" s="8" t="n">
        <f aca="false">COUNTIFS(Incidents!J:J,"IXG",Incidents!A:A,"2021-*")</f>
        <v>1</v>
      </c>
      <c r="H32" s="8" t="n">
        <f aca="false">COUNTIFS(Incidents!J:J,"IXG",Incidents!A:A,"2022-*")</f>
        <v>0</v>
      </c>
      <c r="I32" s="8" t="n">
        <f aca="false">COUNTIFS(Incidents!J:J,"IXG",Incidents!A:A,"2023-*")</f>
        <v>0</v>
      </c>
      <c r="J32" s="8" t="n">
        <f aca="false">COUNTIFS(Incidents!J:J,"IXG",Incidents!A:A,"2024-*")</f>
        <v>0</v>
      </c>
      <c r="K32" s="8" t="n">
        <f aca="false">COUNTIFS(Incidents!J:J,"IXG",Incidents!A:A,"2025-*")</f>
        <v>0</v>
      </c>
      <c r="L32" s="8" t="n">
        <f aca="false">SUM(B32:K32)</f>
        <v>1</v>
      </c>
    </row>
    <row r="33" customFormat="false" ht="15" hidden="false" customHeight="false" outlineLevel="0" collapsed="false">
      <c r="A33" s="8" t="s">
        <v>459</v>
      </c>
      <c r="B33" s="8" t="n">
        <f aca="false">COUNTIFS(Incidents!J:J,"JLR",Incidents!A:A,"2016-*")</f>
        <v>0</v>
      </c>
      <c r="C33" s="8" t="n">
        <f aca="false">COUNTIFS(Incidents!J:J,"JLR",Incidents!A:A,"2017-*")</f>
        <v>0</v>
      </c>
      <c r="D33" s="8" t="n">
        <f aca="false">COUNTIFS(Incidents!J:J,"JLR",Incidents!A:A,"2018-*")</f>
        <v>0</v>
      </c>
      <c r="E33" s="8" t="n">
        <f aca="false">COUNTIFS(Incidents!J:J,"JLR",Incidents!A:A,"2019-*")</f>
        <v>0</v>
      </c>
      <c r="F33" s="8" t="n">
        <f aca="false">COUNTIFS(Incidents!J:J,"JLR",Incidents!A:A,"2020-*")</f>
        <v>0</v>
      </c>
      <c r="G33" s="8" t="n">
        <f aca="false">COUNTIFS(Incidents!J:J,"JLR",Incidents!A:A,"2021-*")</f>
        <v>0</v>
      </c>
      <c r="H33" s="8" t="n">
        <f aca="false">COUNTIFS(Incidents!J:J,"JLR",Incidents!A:A,"2022-*")</f>
        <v>1</v>
      </c>
      <c r="I33" s="8" t="n">
        <f aca="false">COUNTIFS(Incidents!J:J,"JLR",Incidents!A:A,"2023-*")</f>
        <v>0</v>
      </c>
      <c r="J33" s="8" t="n">
        <f aca="false">COUNTIFS(Incidents!J:J,"JLR",Incidents!A:A,"2024-*")</f>
        <v>0</v>
      </c>
      <c r="K33" s="8" t="n">
        <f aca="false">COUNTIFS(Incidents!J:J,"JLR",Incidents!A:A,"2025-*")</f>
        <v>0</v>
      </c>
      <c r="L33" s="8" t="n">
        <f aca="false">SUM(B33:K33)</f>
        <v>1</v>
      </c>
    </row>
    <row r="34" customFormat="false" ht="15" hidden="false" customHeight="false" outlineLevel="0" collapsed="false">
      <c r="A34" s="8" t="s">
        <v>488</v>
      </c>
      <c r="B34" s="8" t="n">
        <f aca="false">COUNTIFS(Incidents!J:J,"PAT",Incidents!A:A,"2016-*")</f>
        <v>0</v>
      </c>
      <c r="C34" s="8" t="n">
        <f aca="false">COUNTIFS(Incidents!J:J,"PAT",Incidents!A:A,"2017-*")</f>
        <v>0</v>
      </c>
      <c r="D34" s="8" t="n">
        <f aca="false">COUNTIFS(Incidents!J:J,"PAT",Incidents!A:A,"2018-*")</f>
        <v>0</v>
      </c>
      <c r="E34" s="8" t="n">
        <f aca="false">COUNTIFS(Incidents!J:J,"PAT",Incidents!A:A,"2019-*")</f>
        <v>0</v>
      </c>
      <c r="F34" s="8" t="n">
        <f aca="false">COUNTIFS(Incidents!J:J,"PAT",Incidents!A:A,"2020-*")</f>
        <v>0</v>
      </c>
      <c r="G34" s="8" t="n">
        <f aca="false">COUNTIFS(Incidents!J:J,"PAT",Incidents!A:A,"2021-*")</f>
        <v>0</v>
      </c>
      <c r="H34" s="8" t="n">
        <f aca="false">COUNTIFS(Incidents!J:J,"PAT",Incidents!A:A,"2022-*")</f>
        <v>1</v>
      </c>
      <c r="I34" s="8" t="n">
        <f aca="false">COUNTIFS(Incidents!J:J,"PAT",Incidents!A:A,"2023-*")</f>
        <v>0</v>
      </c>
      <c r="J34" s="8" t="n">
        <f aca="false">COUNTIFS(Incidents!J:J,"PAT",Incidents!A:A,"2024-*")</f>
        <v>0</v>
      </c>
      <c r="K34" s="8" t="n">
        <f aca="false">COUNTIFS(Incidents!J:J,"PAT",Incidents!A:A,"2025-*")</f>
        <v>0</v>
      </c>
      <c r="L34" s="8" t="n">
        <f aca="false">SUM(B34:K34)</f>
        <v>1</v>
      </c>
    </row>
    <row r="35" customFormat="false" ht="15" hidden="false" customHeight="false" outlineLevel="0" collapsed="false">
      <c r="A35" s="8" t="s">
        <v>500</v>
      </c>
      <c r="B35" s="8" t="n">
        <f aca="false">COUNTIFS(Incidents!J:J,"VNS",Incidents!A:A,"2016-*")</f>
        <v>0</v>
      </c>
      <c r="C35" s="8" t="n">
        <f aca="false">COUNTIFS(Incidents!J:J,"VNS",Incidents!A:A,"2017-*")</f>
        <v>0</v>
      </c>
      <c r="D35" s="8" t="n">
        <f aca="false">COUNTIFS(Incidents!J:J,"VNS",Incidents!A:A,"2018-*")</f>
        <v>0</v>
      </c>
      <c r="E35" s="8" t="n">
        <f aca="false">COUNTIFS(Incidents!J:J,"VNS",Incidents!A:A,"2019-*")</f>
        <v>0</v>
      </c>
      <c r="F35" s="8" t="n">
        <f aca="false">COUNTIFS(Incidents!J:J,"VNS",Incidents!A:A,"2020-*")</f>
        <v>0</v>
      </c>
      <c r="G35" s="8" t="n">
        <f aca="false">COUNTIFS(Incidents!J:J,"VNS",Incidents!A:A,"2021-*")</f>
        <v>0</v>
      </c>
      <c r="H35" s="8" t="n">
        <f aca="false">COUNTIFS(Incidents!J:J,"VNS",Incidents!A:A,"2022-*")</f>
        <v>1</v>
      </c>
      <c r="I35" s="8" t="n">
        <f aca="false">COUNTIFS(Incidents!J:J,"VNS",Incidents!A:A,"2023-*")</f>
        <v>0</v>
      </c>
      <c r="J35" s="8" t="n">
        <f aca="false">COUNTIFS(Incidents!J:J,"VNS",Incidents!A:A,"2024-*")</f>
        <v>0</v>
      </c>
      <c r="K35" s="8" t="n">
        <f aca="false">COUNTIFS(Incidents!J:J,"VNS",Incidents!A:A,"2025-*")</f>
        <v>0</v>
      </c>
      <c r="L35" s="8" t="n">
        <f aca="false">SUM(B35:K35)</f>
        <v>1</v>
      </c>
    </row>
    <row r="36" customFormat="false" ht="15" hidden="false" customHeight="false" outlineLevel="0" collapsed="false">
      <c r="A36" s="8" t="s">
        <v>514</v>
      </c>
      <c r="B36" s="8" t="n">
        <f aca="false">COUNTIFS(Incidents!J:J,"CNN",Incidents!A:A,"2016-*")</f>
        <v>0</v>
      </c>
      <c r="C36" s="8" t="n">
        <f aca="false">COUNTIFS(Incidents!J:J,"CNN",Incidents!A:A,"2017-*")</f>
        <v>0</v>
      </c>
      <c r="D36" s="8" t="n">
        <f aca="false">COUNTIFS(Incidents!J:J,"CNN",Incidents!A:A,"2018-*")</f>
        <v>0</v>
      </c>
      <c r="E36" s="8" t="n">
        <f aca="false">COUNTIFS(Incidents!J:J,"CNN",Incidents!A:A,"2019-*")</f>
        <v>0</v>
      </c>
      <c r="F36" s="8" t="n">
        <f aca="false">COUNTIFS(Incidents!J:J,"CNN",Incidents!A:A,"2020-*")</f>
        <v>0</v>
      </c>
      <c r="G36" s="8" t="n">
        <f aca="false">COUNTIFS(Incidents!J:J,"CNN",Incidents!A:A,"2021-*")</f>
        <v>0</v>
      </c>
      <c r="H36" s="8" t="n">
        <f aca="false">COUNTIFS(Incidents!J:J,"CNN",Incidents!A:A,"2022-*")</f>
        <v>1</v>
      </c>
      <c r="I36" s="8" t="n">
        <f aca="false">COUNTIFS(Incidents!J:J,"CNN",Incidents!A:A,"2023-*")</f>
        <v>0</v>
      </c>
      <c r="J36" s="8" t="n">
        <f aca="false">COUNTIFS(Incidents!J:J,"CNN",Incidents!A:A,"2024-*")</f>
        <v>0</v>
      </c>
      <c r="K36" s="8" t="n">
        <f aca="false">COUNTIFS(Incidents!J:J,"CNN",Incidents!A:A,"2025-*")</f>
        <v>0</v>
      </c>
      <c r="L36" s="8" t="n">
        <f aca="false">SUM(B36:K36)</f>
        <v>1</v>
      </c>
    </row>
    <row r="37" customFormat="false" ht="15" hidden="false" customHeight="false" outlineLevel="0" collapsed="false">
      <c r="A37" s="8" t="s">
        <v>535</v>
      </c>
      <c r="B37" s="8" t="n">
        <f aca="false">COUNTIFS(Incidents!J:J,"LKO",Incidents!A:A,"2016-*")</f>
        <v>0</v>
      </c>
      <c r="C37" s="8" t="n">
        <f aca="false">COUNTIFS(Incidents!J:J,"LKO",Incidents!A:A,"2017-*")</f>
        <v>0</v>
      </c>
      <c r="D37" s="8" t="n">
        <f aca="false">COUNTIFS(Incidents!J:J,"LKO",Incidents!A:A,"2018-*")</f>
        <v>0</v>
      </c>
      <c r="E37" s="8" t="n">
        <f aca="false">COUNTIFS(Incidents!J:J,"LKO",Incidents!A:A,"2019-*")</f>
        <v>0</v>
      </c>
      <c r="F37" s="8" t="n">
        <f aca="false">COUNTIFS(Incidents!J:J,"LKO",Incidents!A:A,"2020-*")</f>
        <v>0</v>
      </c>
      <c r="G37" s="8" t="n">
        <f aca="false">COUNTIFS(Incidents!J:J,"LKO",Incidents!A:A,"2021-*")</f>
        <v>0</v>
      </c>
      <c r="H37" s="8" t="n">
        <f aca="false">COUNTIFS(Incidents!J:J,"LKO",Incidents!A:A,"2022-*")</f>
        <v>0</v>
      </c>
      <c r="I37" s="8" t="n">
        <f aca="false">COUNTIFS(Incidents!J:J,"LKO",Incidents!A:A,"2023-*")</f>
        <v>1</v>
      </c>
      <c r="J37" s="8" t="n">
        <f aca="false">COUNTIFS(Incidents!J:J,"LKO",Incidents!A:A,"2024-*")</f>
        <v>0</v>
      </c>
      <c r="K37" s="8" t="n">
        <f aca="false">COUNTIFS(Incidents!J:J,"LKO",Incidents!A:A,"2025-*")</f>
        <v>0</v>
      </c>
      <c r="L37" s="8" t="n">
        <f aca="false">SUM(B37:K37)</f>
        <v>1</v>
      </c>
    </row>
    <row r="38" customFormat="false" ht="15" hidden="false" customHeight="false" outlineLevel="0" collapsed="false">
      <c r="A38" s="8" t="s">
        <v>618</v>
      </c>
      <c r="B38" s="8" t="n">
        <f aca="false">COUNTIFS(Incidents!J:J,"IMF",Incidents!A:A,"2016-*")</f>
        <v>0</v>
      </c>
      <c r="C38" s="8" t="n">
        <f aca="false">COUNTIFS(Incidents!J:J,"IMF",Incidents!A:A,"2017-*")</f>
        <v>0</v>
      </c>
      <c r="D38" s="8" t="n">
        <f aca="false">COUNTIFS(Incidents!J:J,"IMF",Incidents!A:A,"2018-*")</f>
        <v>0</v>
      </c>
      <c r="E38" s="8" t="n">
        <f aca="false">COUNTIFS(Incidents!J:J,"IMF",Incidents!A:A,"2019-*")</f>
        <v>0</v>
      </c>
      <c r="F38" s="8" t="n">
        <f aca="false">COUNTIFS(Incidents!J:J,"IMF",Incidents!A:A,"2020-*")</f>
        <v>0</v>
      </c>
      <c r="G38" s="8" t="n">
        <f aca="false">COUNTIFS(Incidents!J:J,"IMF",Incidents!A:A,"2021-*")</f>
        <v>0</v>
      </c>
      <c r="H38" s="8" t="n">
        <f aca="false">COUNTIFS(Incidents!J:J,"IMF",Incidents!A:A,"2022-*")</f>
        <v>0</v>
      </c>
      <c r="I38" s="8" t="n">
        <f aca="false">COUNTIFS(Incidents!J:J,"IMF",Incidents!A:A,"2023-*")</f>
        <v>1</v>
      </c>
      <c r="J38" s="8" t="n">
        <f aca="false">COUNTIFS(Incidents!J:J,"IMF",Incidents!A:A,"2024-*")</f>
        <v>0</v>
      </c>
      <c r="K38" s="8" t="n">
        <f aca="false">COUNTIFS(Incidents!J:J,"IMF",Incidents!A:A,"2025-*")</f>
        <v>0</v>
      </c>
      <c r="L38" s="8" t="n">
        <f aca="false">SUM(B38:K38)</f>
        <v>1</v>
      </c>
    </row>
    <row r="39" customFormat="false" ht="15" hidden="false" customHeight="false" outlineLevel="0" collapsed="false">
      <c r="A39" s="8" t="s">
        <v>641</v>
      </c>
      <c r="B39" s="8" t="n">
        <f aca="false">COUNTIFS(Incidents!J:J,"AJL",Incidents!A:A,"2016-*")</f>
        <v>0</v>
      </c>
      <c r="C39" s="8" t="n">
        <f aca="false">COUNTIFS(Incidents!J:J,"AJL",Incidents!A:A,"2017-*")</f>
        <v>0</v>
      </c>
      <c r="D39" s="8" t="n">
        <f aca="false">COUNTIFS(Incidents!J:J,"AJL",Incidents!A:A,"2018-*")</f>
        <v>0</v>
      </c>
      <c r="E39" s="8" t="n">
        <f aca="false">COUNTIFS(Incidents!J:J,"AJL",Incidents!A:A,"2019-*")</f>
        <v>0</v>
      </c>
      <c r="F39" s="8" t="n">
        <f aca="false">COUNTIFS(Incidents!J:J,"AJL",Incidents!A:A,"2020-*")</f>
        <v>0</v>
      </c>
      <c r="G39" s="8" t="n">
        <f aca="false">COUNTIFS(Incidents!J:J,"AJL",Incidents!A:A,"2021-*")</f>
        <v>0</v>
      </c>
      <c r="H39" s="8" t="n">
        <f aca="false">COUNTIFS(Incidents!J:J,"AJL",Incidents!A:A,"2022-*")</f>
        <v>0</v>
      </c>
      <c r="I39" s="8" t="n">
        <f aca="false">COUNTIFS(Incidents!J:J,"AJL",Incidents!A:A,"2023-*")</f>
        <v>0</v>
      </c>
      <c r="J39" s="8" t="n">
        <f aca="false">COUNTIFS(Incidents!J:J,"AJL",Incidents!A:A,"2024-*")</f>
        <v>1</v>
      </c>
      <c r="K39" s="8" t="n">
        <f aca="false">COUNTIFS(Incidents!J:J,"AJL",Incidents!A:A,"2025-*")</f>
        <v>0</v>
      </c>
      <c r="L39" s="8" t="n">
        <f aca="false">SUM(B39:K39)</f>
        <v>1</v>
      </c>
    </row>
    <row r="40" customFormat="false" ht="15" hidden="false" customHeight="false" outlineLevel="0" collapsed="false">
      <c r="A40" s="8" t="s">
        <v>842</v>
      </c>
      <c r="B40" s="8" t="n">
        <f aca="false">COUNTIFS(Incidents!J:J,"IXR",Incidents!A:A,"2016-*")</f>
        <v>0</v>
      </c>
      <c r="C40" s="8" t="n">
        <f aca="false">COUNTIFS(Incidents!J:J,"IXR",Incidents!A:A,"2017-*")</f>
        <v>0</v>
      </c>
      <c r="D40" s="8" t="n">
        <f aca="false">COUNTIFS(Incidents!J:J,"IXR",Incidents!A:A,"2018-*")</f>
        <v>0</v>
      </c>
      <c r="E40" s="8" t="n">
        <f aca="false">COUNTIFS(Incidents!J:J,"IXR",Incidents!A:A,"2019-*")</f>
        <v>0</v>
      </c>
      <c r="F40" s="8" t="n">
        <f aca="false">COUNTIFS(Incidents!J:J,"IXR",Incidents!A:A,"2020-*")</f>
        <v>0</v>
      </c>
      <c r="G40" s="8" t="n">
        <f aca="false">COUNTIFS(Incidents!J:J,"IXR",Incidents!A:A,"2021-*")</f>
        <v>0</v>
      </c>
      <c r="H40" s="8" t="n">
        <f aca="false">COUNTIFS(Incidents!J:J,"IXR",Incidents!A:A,"2022-*")</f>
        <v>0</v>
      </c>
      <c r="I40" s="8" t="n">
        <f aca="false">COUNTIFS(Incidents!J:J,"IXR",Incidents!A:A,"2023-*")</f>
        <v>0</v>
      </c>
      <c r="J40" s="8" t="n">
        <f aca="false">COUNTIFS(Incidents!J:J,"IXR",Incidents!A:A,"2024-*")</f>
        <v>0</v>
      </c>
      <c r="K40" s="8" t="n">
        <f aca="false">COUNTIFS(Incidents!J:J,"IXR",Incidents!A:A,"2025-*")</f>
        <v>1</v>
      </c>
      <c r="L40" s="8" t="n">
        <f aca="false">SUM(B40:K40)</f>
        <v>1</v>
      </c>
    </row>
    <row r="41" customFormat="false" ht="15" hidden="false" customHeight="false" outlineLevel="0" collapsed="false">
      <c r="A41" s="14" t="s">
        <v>852</v>
      </c>
      <c r="B41" s="14" t="n">
        <f aca="false">SUM(B2:B40)</f>
        <v>8</v>
      </c>
      <c r="C41" s="14" t="n">
        <f aca="false">SUM(C2:C40)</f>
        <v>14</v>
      </c>
      <c r="D41" s="14" t="n">
        <f aca="false">SUM(D2:D40)</f>
        <v>7</v>
      </c>
      <c r="E41" s="14" t="n">
        <f aca="false">SUM(E2:E40)</f>
        <v>16</v>
      </c>
      <c r="F41" s="14" t="n">
        <f aca="false">SUM(F2:F40)</f>
        <v>9</v>
      </c>
      <c r="G41" s="14" t="n">
        <f aca="false">SUM(G2:G40)</f>
        <v>8</v>
      </c>
      <c r="H41" s="14" t="n">
        <f aca="false">SUM(H2:H40)</f>
        <v>14</v>
      </c>
      <c r="I41" s="14" t="n">
        <f aca="false">SUM(I2:I40)</f>
        <v>20</v>
      </c>
      <c r="J41" s="14" t="n">
        <f aca="false">SUM(J2:J40)</f>
        <v>23</v>
      </c>
      <c r="K41" s="14" t="n">
        <f aca="false">SUM(K2:K40)</f>
        <v>22</v>
      </c>
      <c r="L41" s="14" t="n">
        <f aca="false">SUM(L2:L40)</f>
        <v>141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1" min="2" style="0" width="16"/>
  </cols>
  <sheetData>
    <row r="1" customFormat="false" ht="15" hidden="false" customHeight="false" outlineLevel="0" collapsed="false">
      <c r="A1" s="13" t="s">
        <v>42</v>
      </c>
      <c r="B1" s="13" t="s">
        <v>843</v>
      </c>
      <c r="C1" s="13" t="s">
        <v>844</v>
      </c>
      <c r="D1" s="13" t="s">
        <v>845</v>
      </c>
      <c r="E1" s="13" t="s">
        <v>846</v>
      </c>
      <c r="F1" s="13" t="s">
        <v>847</v>
      </c>
      <c r="G1" s="13" t="s">
        <v>848</v>
      </c>
      <c r="H1" s="13" t="s">
        <v>849</v>
      </c>
      <c r="I1" s="13" t="s">
        <v>850</v>
      </c>
      <c r="J1" s="13" t="s">
        <v>851</v>
      </c>
      <c r="K1" s="13" t="s">
        <v>852</v>
      </c>
    </row>
    <row r="2" customFormat="false" ht="15" hidden="false" customHeight="false" outlineLevel="0" collapsed="false">
      <c r="A2" s="8" t="s">
        <v>129</v>
      </c>
      <c r="B2" s="8" t="n">
        <f aca="false">COUNTIFS(Incidents!K:K,"IndiGo",Incidents!D:D,"runway_excursion")</f>
        <v>0</v>
      </c>
      <c r="C2" s="8" t="n">
        <f aca="false">COUNTIFS(Incidents!K:K,"IndiGo",Incidents!D:D,"runway_incursion")</f>
        <v>6</v>
      </c>
      <c r="D2" s="8" t="n">
        <f aca="false">COUNTIFS(Incidents!K:K,"IndiGo",Incidents!D:D,"ground_collision")</f>
        <v>5</v>
      </c>
      <c r="E2" s="8" t="n">
        <f aca="false">COUNTIFS(Incidents!K:K,"IndiGo",Incidents!D:D,"tarmac_fire")</f>
        <v>4</v>
      </c>
      <c r="F2" s="8" t="n">
        <f aca="false">COUNTIFS(Incidents!K:K,"IndiGo",Incidents!D:D,"fuel_spill")</f>
        <v>0</v>
      </c>
      <c r="G2" s="8" t="n">
        <f aca="false">COUNTIFS(Incidents!K:K,"IndiGo",Incidents!D:D,"bird_strike_ground")</f>
        <v>7</v>
      </c>
      <c r="H2" s="8" t="n">
        <f aca="false">COUNTIFS(Incidents!K:K,"IndiGo",Incidents!D:D,"security_breach")</f>
        <v>1</v>
      </c>
      <c r="I2" s="8" t="n">
        <f aca="false">COUNTIFS(Incidents!K:K,"IndiGo",Incidents!D:D,"apron_incident")</f>
        <v>15</v>
      </c>
      <c r="J2" s="8" t="n">
        <f aca="false">COUNTIFS(Incidents!K:K,"IndiGo",Incidents!D:D,"other")</f>
        <v>2</v>
      </c>
      <c r="K2" s="8" t="n">
        <f aca="false">SUM(B2:J2)</f>
        <v>40</v>
      </c>
    </row>
    <row r="3" customFormat="false" ht="15" hidden="false" customHeight="false" outlineLevel="0" collapsed="false">
      <c r="A3" s="8" t="s">
        <v>52</v>
      </c>
      <c r="B3" s="8" t="n">
        <f aca="false">COUNTIFS(Incidents!K:K,"Air India",Incidents!D:D,"runway_excursion")</f>
        <v>5</v>
      </c>
      <c r="C3" s="8" t="n">
        <f aca="false">COUNTIFS(Incidents!K:K,"Air India",Incidents!D:D,"runway_incursion")</f>
        <v>5</v>
      </c>
      <c r="D3" s="8" t="n">
        <f aca="false">COUNTIFS(Incidents!K:K,"Air India",Incidents!D:D,"ground_collision")</f>
        <v>5</v>
      </c>
      <c r="E3" s="8" t="n">
        <f aca="false">COUNTIFS(Incidents!K:K,"Air India",Incidents!D:D,"tarmac_fire")</f>
        <v>3</v>
      </c>
      <c r="F3" s="8" t="n">
        <f aca="false">COUNTIFS(Incidents!K:K,"Air India",Incidents!D:D,"fuel_spill")</f>
        <v>0</v>
      </c>
      <c r="G3" s="8" t="n">
        <f aca="false">COUNTIFS(Incidents!K:K,"Air India",Incidents!D:D,"bird_strike_ground")</f>
        <v>5</v>
      </c>
      <c r="H3" s="8" t="n">
        <f aca="false">COUNTIFS(Incidents!K:K,"Air India",Incidents!D:D,"security_breach")</f>
        <v>1</v>
      </c>
      <c r="I3" s="8" t="n">
        <f aca="false">COUNTIFS(Incidents!K:K,"Air India",Incidents!D:D,"apron_incident")</f>
        <v>4</v>
      </c>
      <c r="J3" s="8" t="n">
        <f aca="false">COUNTIFS(Incidents!K:K,"Air India",Incidents!D:D,"other")</f>
        <v>3</v>
      </c>
      <c r="K3" s="8" t="n">
        <f aca="false">SUM(B3:J3)</f>
        <v>31</v>
      </c>
    </row>
    <row r="4" customFormat="false" ht="15" hidden="false" customHeight="false" outlineLevel="0" collapsed="false">
      <c r="A4" s="8" t="s">
        <v>88</v>
      </c>
      <c r="B4" s="8" t="n">
        <f aca="false">COUNTIFS(Incidents!K:K,"SpiceJet",Incidents!D:D,"runway_excursion")</f>
        <v>6</v>
      </c>
      <c r="C4" s="8" t="n">
        <f aca="false">COUNTIFS(Incidents!K:K,"SpiceJet",Incidents!D:D,"runway_incursion")</f>
        <v>5</v>
      </c>
      <c r="D4" s="8" t="n">
        <f aca="false">COUNTIFS(Incidents!K:K,"SpiceJet",Incidents!D:D,"ground_collision")</f>
        <v>0</v>
      </c>
      <c r="E4" s="8" t="n">
        <f aca="false">COUNTIFS(Incidents!K:K,"SpiceJet",Incidents!D:D,"tarmac_fire")</f>
        <v>0</v>
      </c>
      <c r="F4" s="8" t="n">
        <f aca="false">COUNTIFS(Incidents!K:K,"SpiceJet",Incidents!D:D,"fuel_spill")</f>
        <v>0</v>
      </c>
      <c r="G4" s="8" t="n">
        <f aca="false">COUNTIFS(Incidents!K:K,"SpiceJet",Incidents!D:D,"bird_strike_ground")</f>
        <v>2</v>
      </c>
      <c r="H4" s="8" t="n">
        <f aca="false">COUNTIFS(Incidents!K:K,"SpiceJet",Incidents!D:D,"security_breach")</f>
        <v>0</v>
      </c>
      <c r="I4" s="8" t="n">
        <f aca="false">COUNTIFS(Incidents!K:K,"SpiceJet",Incidents!D:D,"apron_incident")</f>
        <v>4</v>
      </c>
      <c r="J4" s="8" t="n">
        <f aca="false">COUNTIFS(Incidents!K:K,"SpiceJet",Incidents!D:D,"other")</f>
        <v>0</v>
      </c>
      <c r="K4" s="8" t="n">
        <f aca="false">SUM(B4:J4)</f>
        <v>17</v>
      </c>
    </row>
    <row r="5" customFormat="false" ht="15" hidden="false" customHeight="false" outlineLevel="0" collapsed="false">
      <c r="A5" s="8" t="s">
        <v>222</v>
      </c>
      <c r="B5" s="8" t="n">
        <f aca="false">COUNTIFS(Incidents!K:K,"Other / Unknown",Incidents!D:D,"runway_excursion")</f>
        <v>3</v>
      </c>
      <c r="C5" s="8" t="n">
        <f aca="false">COUNTIFS(Incidents!K:K,"Other / Unknown",Incidents!D:D,"runway_incursion")</f>
        <v>0</v>
      </c>
      <c r="D5" s="8" t="n">
        <f aca="false">COUNTIFS(Incidents!K:K,"Other / Unknown",Incidents!D:D,"ground_collision")</f>
        <v>0</v>
      </c>
      <c r="E5" s="8" t="n">
        <f aca="false">COUNTIFS(Incidents!K:K,"Other / Unknown",Incidents!D:D,"tarmac_fire")</f>
        <v>0</v>
      </c>
      <c r="F5" s="8" t="n">
        <f aca="false">COUNTIFS(Incidents!K:K,"Other / Unknown",Incidents!D:D,"fuel_spill")</f>
        <v>0</v>
      </c>
      <c r="G5" s="8" t="n">
        <f aca="false">COUNTIFS(Incidents!K:K,"Other / Unknown",Incidents!D:D,"bird_strike_ground")</f>
        <v>0</v>
      </c>
      <c r="H5" s="8" t="n">
        <f aca="false">COUNTIFS(Incidents!K:K,"Other / Unknown",Incidents!D:D,"security_breach")</f>
        <v>2</v>
      </c>
      <c r="I5" s="8" t="n">
        <f aca="false">COUNTIFS(Incidents!K:K,"Other / Unknown",Incidents!D:D,"apron_incident")</f>
        <v>2</v>
      </c>
      <c r="J5" s="8" t="n">
        <f aca="false">COUNTIFS(Incidents!K:K,"Other / Unknown",Incidents!D:D,"other")</f>
        <v>8</v>
      </c>
      <c r="K5" s="8" t="n">
        <f aca="false">SUM(B5:J5)</f>
        <v>15</v>
      </c>
    </row>
    <row r="6" customFormat="false" ht="15" hidden="false" customHeight="false" outlineLevel="0" collapsed="false">
      <c r="A6" s="8" t="s">
        <v>161</v>
      </c>
      <c r="B6" s="8" t="n">
        <f aca="false">COUNTIFS(Incidents!K:K,"Air India Express",Incidents!D:D,"runway_excursion")</f>
        <v>5</v>
      </c>
      <c r="C6" s="8" t="n">
        <f aca="false">COUNTIFS(Incidents!K:K,"Air India Express",Incidents!D:D,"runway_incursion")</f>
        <v>0</v>
      </c>
      <c r="D6" s="8" t="n">
        <f aca="false">COUNTIFS(Incidents!K:K,"Air India Express",Incidents!D:D,"ground_collision")</f>
        <v>0</v>
      </c>
      <c r="E6" s="8" t="n">
        <f aca="false">COUNTIFS(Incidents!K:K,"Air India Express",Incidents!D:D,"tarmac_fire")</f>
        <v>1</v>
      </c>
      <c r="F6" s="8" t="n">
        <f aca="false">COUNTIFS(Incidents!K:K,"Air India Express",Incidents!D:D,"fuel_spill")</f>
        <v>0</v>
      </c>
      <c r="G6" s="8" t="n">
        <f aca="false">COUNTIFS(Incidents!K:K,"Air India Express",Incidents!D:D,"bird_strike_ground")</f>
        <v>0</v>
      </c>
      <c r="H6" s="8" t="n">
        <f aca="false">COUNTIFS(Incidents!K:K,"Air India Express",Incidents!D:D,"security_breach")</f>
        <v>0</v>
      </c>
      <c r="I6" s="8" t="n">
        <f aca="false">COUNTIFS(Incidents!K:K,"Air India Express",Incidents!D:D,"apron_incident")</f>
        <v>5</v>
      </c>
      <c r="J6" s="8" t="n">
        <f aca="false">COUNTIFS(Incidents!K:K,"Air India Express",Incidents!D:D,"other")</f>
        <v>0</v>
      </c>
      <c r="K6" s="8" t="n">
        <f aca="false">SUM(B6:J6)</f>
        <v>11</v>
      </c>
    </row>
    <row r="7" customFormat="false" ht="15" hidden="false" customHeight="false" outlineLevel="0" collapsed="false">
      <c r="A7" s="8" t="s">
        <v>211</v>
      </c>
      <c r="B7" s="8" t="n">
        <f aca="false">COUNTIFS(Incidents!K:K,"Alliance Air",Incidents!D:D,"runway_excursion")</f>
        <v>3</v>
      </c>
      <c r="C7" s="8" t="n">
        <f aca="false">COUNTIFS(Incidents!K:K,"Alliance Air",Incidents!D:D,"runway_incursion")</f>
        <v>0</v>
      </c>
      <c r="D7" s="8" t="n">
        <f aca="false">COUNTIFS(Incidents!K:K,"Alliance Air",Incidents!D:D,"ground_collision")</f>
        <v>0</v>
      </c>
      <c r="E7" s="8" t="n">
        <f aca="false">COUNTIFS(Incidents!K:K,"Alliance Air",Incidents!D:D,"tarmac_fire")</f>
        <v>0</v>
      </c>
      <c r="F7" s="8" t="n">
        <f aca="false">COUNTIFS(Incidents!K:K,"Alliance Air",Incidents!D:D,"fuel_spill")</f>
        <v>0</v>
      </c>
      <c r="G7" s="8" t="n">
        <f aca="false">COUNTIFS(Incidents!K:K,"Alliance Air",Incidents!D:D,"bird_strike_ground")</f>
        <v>1</v>
      </c>
      <c r="H7" s="8" t="n">
        <f aca="false">COUNTIFS(Incidents!K:K,"Alliance Air",Incidents!D:D,"security_breach")</f>
        <v>0</v>
      </c>
      <c r="I7" s="8" t="n">
        <f aca="false">COUNTIFS(Incidents!K:K,"Alliance Air",Incidents!D:D,"apron_incident")</f>
        <v>1</v>
      </c>
      <c r="J7" s="8" t="n">
        <f aca="false">COUNTIFS(Incidents!K:K,"Alliance Air",Incidents!D:D,"other")</f>
        <v>0</v>
      </c>
      <c r="K7" s="8" t="n">
        <f aca="false">SUM(B7:J7)</f>
        <v>5</v>
      </c>
    </row>
    <row r="8" customFormat="false" ht="15" hidden="false" customHeight="false" outlineLevel="0" collapsed="false">
      <c r="A8" s="8" t="s">
        <v>59</v>
      </c>
      <c r="B8" s="8" t="n">
        <f aca="false">COUNTIFS(Incidents!K:K,"Jet Airways",Incidents!D:D,"runway_excursion")</f>
        <v>2</v>
      </c>
      <c r="C8" s="8" t="n">
        <f aca="false">COUNTIFS(Incidents!K:K,"Jet Airways",Incidents!D:D,"runway_incursion")</f>
        <v>0</v>
      </c>
      <c r="D8" s="8" t="n">
        <f aca="false">COUNTIFS(Incidents!K:K,"Jet Airways",Incidents!D:D,"ground_collision")</f>
        <v>1</v>
      </c>
      <c r="E8" s="8" t="n">
        <f aca="false">COUNTIFS(Incidents!K:K,"Jet Airways",Incidents!D:D,"tarmac_fire")</f>
        <v>0</v>
      </c>
      <c r="F8" s="8" t="n">
        <f aca="false">COUNTIFS(Incidents!K:K,"Jet Airways",Incidents!D:D,"fuel_spill")</f>
        <v>0</v>
      </c>
      <c r="G8" s="8" t="n">
        <f aca="false">COUNTIFS(Incidents!K:K,"Jet Airways",Incidents!D:D,"bird_strike_ground")</f>
        <v>1</v>
      </c>
      <c r="H8" s="8" t="n">
        <f aca="false">COUNTIFS(Incidents!K:K,"Jet Airways",Incidents!D:D,"security_breach")</f>
        <v>0</v>
      </c>
      <c r="I8" s="8" t="n">
        <f aca="false">COUNTIFS(Incidents!K:K,"Jet Airways",Incidents!D:D,"apron_incident")</f>
        <v>0</v>
      </c>
      <c r="J8" s="8" t="n">
        <f aca="false">COUNTIFS(Incidents!K:K,"Jet Airways",Incidents!D:D,"other")</f>
        <v>0</v>
      </c>
      <c r="K8" s="8" t="n">
        <f aca="false">SUM(B8:J8)</f>
        <v>4</v>
      </c>
    </row>
    <row r="9" customFormat="false" ht="15" hidden="false" customHeight="false" outlineLevel="0" collapsed="false">
      <c r="A9" s="8" t="s">
        <v>322</v>
      </c>
      <c r="B9" s="8" t="n">
        <f aca="false">COUNTIFS(Incidents!K:K,"AirAsia India",Incidents!D:D,"runway_excursion")</f>
        <v>0</v>
      </c>
      <c r="C9" s="8" t="n">
        <f aca="false">COUNTIFS(Incidents!K:K,"AirAsia India",Incidents!D:D,"runway_incursion")</f>
        <v>0</v>
      </c>
      <c r="D9" s="8" t="n">
        <f aca="false">COUNTIFS(Incidents!K:K,"AirAsia India",Incidents!D:D,"ground_collision")</f>
        <v>0</v>
      </c>
      <c r="E9" s="8" t="n">
        <f aca="false">COUNTIFS(Incidents!K:K,"AirAsia India",Incidents!D:D,"tarmac_fire")</f>
        <v>0</v>
      </c>
      <c r="F9" s="8" t="n">
        <f aca="false">COUNTIFS(Incidents!K:K,"AirAsia India",Incidents!D:D,"fuel_spill")</f>
        <v>0</v>
      </c>
      <c r="G9" s="8" t="n">
        <f aca="false">COUNTIFS(Incidents!K:K,"AirAsia India",Incidents!D:D,"bird_strike_ground")</f>
        <v>2</v>
      </c>
      <c r="H9" s="8" t="n">
        <f aca="false">COUNTIFS(Incidents!K:K,"AirAsia India",Incidents!D:D,"security_breach")</f>
        <v>1</v>
      </c>
      <c r="I9" s="8" t="n">
        <f aca="false">COUNTIFS(Incidents!K:K,"AirAsia India",Incidents!D:D,"apron_incident")</f>
        <v>1</v>
      </c>
      <c r="J9" s="8" t="n">
        <f aca="false">COUNTIFS(Incidents!K:K,"AirAsia India",Incidents!D:D,"other")</f>
        <v>0</v>
      </c>
      <c r="K9" s="8" t="n">
        <f aca="false">SUM(B9:J9)</f>
        <v>4</v>
      </c>
    </row>
    <row r="10" customFormat="false" ht="15" hidden="false" customHeight="false" outlineLevel="0" collapsed="false">
      <c r="A10" s="8" t="s">
        <v>501</v>
      </c>
      <c r="B10" s="8" t="n">
        <f aca="false">COUNTIFS(Incidents!K:K,"Vistara",Incidents!D:D,"runway_excursion")</f>
        <v>0</v>
      </c>
      <c r="C10" s="8" t="n">
        <f aca="false">COUNTIFS(Incidents!K:K,"Vistara",Incidents!D:D,"runway_incursion")</f>
        <v>1</v>
      </c>
      <c r="D10" s="8" t="n">
        <f aca="false">COUNTIFS(Incidents!K:K,"Vistara",Incidents!D:D,"ground_collision")</f>
        <v>1</v>
      </c>
      <c r="E10" s="8" t="n">
        <f aca="false">COUNTIFS(Incidents!K:K,"Vistara",Incidents!D:D,"tarmac_fire")</f>
        <v>0</v>
      </c>
      <c r="F10" s="8" t="n">
        <f aca="false">COUNTIFS(Incidents!K:K,"Vistara",Incidents!D:D,"fuel_spill")</f>
        <v>0</v>
      </c>
      <c r="G10" s="8" t="n">
        <f aca="false">COUNTIFS(Incidents!K:K,"Vistara",Incidents!D:D,"bird_strike_ground")</f>
        <v>2</v>
      </c>
      <c r="H10" s="8" t="n">
        <f aca="false">COUNTIFS(Incidents!K:K,"Vistara",Incidents!D:D,"security_breach")</f>
        <v>0</v>
      </c>
      <c r="I10" s="8" t="n">
        <f aca="false">COUNTIFS(Incidents!K:K,"Vistara",Incidents!D:D,"apron_incident")</f>
        <v>0</v>
      </c>
      <c r="J10" s="8" t="n">
        <f aca="false">COUNTIFS(Incidents!K:K,"Vistara",Incidents!D:D,"other")</f>
        <v>0</v>
      </c>
      <c r="K10" s="8" t="n">
        <f aca="false">SUM(B10:J10)</f>
        <v>4</v>
      </c>
    </row>
    <row r="11" customFormat="false" ht="15" hidden="false" customHeight="false" outlineLevel="0" collapsed="false">
      <c r="A11" s="8" t="s">
        <v>152</v>
      </c>
      <c r="B11" s="8" t="n">
        <f aca="false">COUNTIFS(Incidents!K:K,"GoAir",Incidents!D:D,"runway_excursion")</f>
        <v>1</v>
      </c>
      <c r="C11" s="8" t="n">
        <f aca="false">COUNTIFS(Incidents!K:K,"GoAir",Incidents!D:D,"runway_incursion")</f>
        <v>0</v>
      </c>
      <c r="D11" s="8" t="n">
        <f aca="false">COUNTIFS(Incidents!K:K,"GoAir",Incidents!D:D,"ground_collision")</f>
        <v>0</v>
      </c>
      <c r="E11" s="8" t="n">
        <f aca="false">COUNTIFS(Incidents!K:K,"GoAir",Incidents!D:D,"tarmac_fire")</f>
        <v>0</v>
      </c>
      <c r="F11" s="8" t="n">
        <f aca="false">COUNTIFS(Incidents!K:K,"GoAir",Incidents!D:D,"fuel_spill")</f>
        <v>0</v>
      </c>
      <c r="G11" s="8" t="n">
        <f aca="false">COUNTIFS(Incidents!K:K,"GoAir",Incidents!D:D,"bird_strike_ground")</f>
        <v>2</v>
      </c>
      <c r="H11" s="8" t="n">
        <f aca="false">COUNTIFS(Incidents!K:K,"GoAir",Incidents!D:D,"security_breach")</f>
        <v>0</v>
      </c>
      <c r="I11" s="8" t="n">
        <f aca="false">COUNTIFS(Incidents!K:K,"GoAir",Incidents!D:D,"apron_incident")</f>
        <v>0</v>
      </c>
      <c r="J11" s="8" t="n">
        <f aca="false">COUNTIFS(Incidents!K:K,"GoAir",Incidents!D:D,"other")</f>
        <v>0</v>
      </c>
      <c r="K11" s="8" t="n">
        <f aca="false">SUM(B11:J11)</f>
        <v>3</v>
      </c>
    </row>
    <row r="12" customFormat="false" ht="15" hidden="false" customHeight="false" outlineLevel="0" collapsed="false">
      <c r="A12" s="8" t="s">
        <v>520</v>
      </c>
      <c r="B12" s="8" t="n">
        <f aca="false">COUNTIFS(Incidents!K:K,"Akasa Air",Incidents!D:D,"runway_excursion")</f>
        <v>0</v>
      </c>
      <c r="C12" s="8" t="n">
        <f aca="false">COUNTIFS(Incidents!K:K,"Akasa Air",Incidents!D:D,"runway_incursion")</f>
        <v>0</v>
      </c>
      <c r="D12" s="8" t="n">
        <f aca="false">COUNTIFS(Incidents!K:K,"Akasa Air",Incidents!D:D,"ground_collision")</f>
        <v>2</v>
      </c>
      <c r="E12" s="8" t="n">
        <f aca="false">COUNTIFS(Incidents!K:K,"Akasa Air",Incidents!D:D,"tarmac_fire")</f>
        <v>0</v>
      </c>
      <c r="F12" s="8" t="n">
        <f aca="false">COUNTIFS(Incidents!K:K,"Akasa Air",Incidents!D:D,"fuel_spill")</f>
        <v>0</v>
      </c>
      <c r="G12" s="8" t="n">
        <f aca="false">COUNTIFS(Incidents!K:K,"Akasa Air",Incidents!D:D,"bird_strike_ground")</f>
        <v>1</v>
      </c>
      <c r="H12" s="8" t="n">
        <f aca="false">COUNTIFS(Incidents!K:K,"Akasa Air",Incidents!D:D,"security_breach")</f>
        <v>0</v>
      </c>
      <c r="I12" s="8" t="n">
        <f aca="false">COUNTIFS(Incidents!K:K,"Akasa Air",Incidents!D:D,"apron_incident")</f>
        <v>0</v>
      </c>
      <c r="J12" s="8" t="n">
        <f aca="false">COUNTIFS(Incidents!K:K,"Akasa Air",Incidents!D:D,"other")</f>
        <v>0</v>
      </c>
      <c r="K12" s="8" t="n">
        <f aca="false">SUM(B12:J12)</f>
        <v>3</v>
      </c>
    </row>
    <row r="13" customFormat="false" ht="15" hidden="false" customHeight="false" outlineLevel="0" collapsed="false">
      <c r="A13" s="8" t="s">
        <v>146</v>
      </c>
      <c r="B13" s="8" t="n">
        <f aca="false">COUNTIFS(Incidents!K:K,"AirAsia",Incidents!D:D,"runway_excursion")</f>
        <v>0</v>
      </c>
      <c r="C13" s="8" t="n">
        <f aca="false">COUNTIFS(Incidents!K:K,"AirAsia",Incidents!D:D,"runway_incursion")</f>
        <v>0</v>
      </c>
      <c r="D13" s="8" t="n">
        <f aca="false">COUNTIFS(Incidents!K:K,"AirAsia",Incidents!D:D,"ground_collision")</f>
        <v>0</v>
      </c>
      <c r="E13" s="8" t="n">
        <f aca="false">COUNTIFS(Incidents!K:K,"AirAsia",Incidents!D:D,"tarmac_fire")</f>
        <v>0</v>
      </c>
      <c r="F13" s="8" t="n">
        <f aca="false">COUNTIFS(Incidents!K:K,"AirAsia",Incidents!D:D,"fuel_spill")</f>
        <v>0</v>
      </c>
      <c r="G13" s="8" t="n">
        <f aca="false">COUNTIFS(Incidents!K:K,"AirAsia",Incidents!D:D,"bird_strike_ground")</f>
        <v>1</v>
      </c>
      <c r="H13" s="8" t="n">
        <f aca="false">COUNTIFS(Incidents!K:K,"AirAsia",Incidents!D:D,"security_breach")</f>
        <v>0</v>
      </c>
      <c r="I13" s="8" t="n">
        <f aca="false">COUNTIFS(Incidents!K:K,"AirAsia",Incidents!D:D,"apron_incident")</f>
        <v>1</v>
      </c>
      <c r="J13" s="8" t="n">
        <f aca="false">COUNTIFS(Incidents!K:K,"AirAsia",Incidents!D:D,"other")</f>
        <v>0</v>
      </c>
      <c r="K13" s="8" t="n">
        <f aca="false">SUM(B13:J13)</f>
        <v>2</v>
      </c>
    </row>
    <row r="14" customFormat="false" ht="15" hidden="false" customHeight="false" outlineLevel="0" collapsed="false">
      <c r="A14" s="8" t="s">
        <v>597</v>
      </c>
      <c r="B14" s="8" t="n">
        <f aca="false">COUNTIFS(Incidents!K:K,"Redbird FTA",Incidents!D:D,"runway_excursion")</f>
        <v>1</v>
      </c>
      <c r="C14" s="8" t="n">
        <f aca="false">COUNTIFS(Incidents!K:K,"Redbird FTA",Incidents!D:D,"runway_incursion")</f>
        <v>0</v>
      </c>
      <c r="D14" s="8" t="n">
        <f aca="false">COUNTIFS(Incidents!K:K,"Redbird FTA",Incidents!D:D,"ground_collision")</f>
        <v>0</v>
      </c>
      <c r="E14" s="8" t="n">
        <f aca="false">COUNTIFS(Incidents!K:K,"Redbird FTA",Incidents!D:D,"tarmac_fire")</f>
        <v>0</v>
      </c>
      <c r="F14" s="8" t="n">
        <f aca="false">COUNTIFS(Incidents!K:K,"Redbird FTA",Incidents!D:D,"fuel_spill")</f>
        <v>0</v>
      </c>
      <c r="G14" s="8" t="n">
        <f aca="false">COUNTIFS(Incidents!K:K,"Redbird FTA",Incidents!D:D,"bird_strike_ground")</f>
        <v>0</v>
      </c>
      <c r="H14" s="8" t="n">
        <f aca="false">COUNTIFS(Incidents!K:K,"Redbird FTA",Incidents!D:D,"security_breach")</f>
        <v>0</v>
      </c>
      <c r="I14" s="8" t="n">
        <f aca="false">COUNTIFS(Incidents!K:K,"Redbird FTA",Incidents!D:D,"apron_incident")</f>
        <v>1</v>
      </c>
      <c r="J14" s="8" t="n">
        <f aca="false">COUNTIFS(Incidents!K:K,"Redbird FTA",Incidents!D:D,"other")</f>
        <v>0</v>
      </c>
      <c r="K14" s="8" t="n">
        <f aca="false">SUM(B14:J14)</f>
        <v>2</v>
      </c>
    </row>
    <row r="15" customFormat="false" ht="15" hidden="false" customHeight="false" outlineLevel="0" collapsed="false">
      <c r="A15" s="8" t="s">
        <v>167</v>
      </c>
      <c r="B15" s="8" t="n">
        <f aca="false">COUNTIFS(Incidents!K:K,"Etihad",Incidents!D:D,"runway_excursion")</f>
        <v>0</v>
      </c>
      <c r="C15" s="8" t="n">
        <f aca="false">COUNTIFS(Incidents!K:K,"Etihad",Incidents!D:D,"runway_incursion")</f>
        <v>0</v>
      </c>
      <c r="D15" s="8" t="n">
        <f aca="false">COUNTIFS(Incidents!K:K,"Etihad",Incidents!D:D,"ground_collision")</f>
        <v>0</v>
      </c>
      <c r="E15" s="8" t="n">
        <f aca="false">COUNTIFS(Incidents!K:K,"Etihad",Incidents!D:D,"tarmac_fire")</f>
        <v>0</v>
      </c>
      <c r="F15" s="8" t="n">
        <f aca="false">COUNTIFS(Incidents!K:K,"Etihad",Incidents!D:D,"fuel_spill")</f>
        <v>0</v>
      </c>
      <c r="G15" s="8" t="n">
        <f aca="false">COUNTIFS(Incidents!K:K,"Etihad",Incidents!D:D,"bird_strike_ground")</f>
        <v>0</v>
      </c>
      <c r="H15" s="8" t="n">
        <f aca="false">COUNTIFS(Incidents!K:K,"Etihad",Incidents!D:D,"security_breach")</f>
        <v>0</v>
      </c>
      <c r="I15" s="8" t="n">
        <f aca="false">COUNTIFS(Incidents!K:K,"Etihad",Incidents!D:D,"apron_incident")</f>
        <v>1</v>
      </c>
      <c r="J15" s="8" t="n">
        <f aca="false">COUNTIFS(Incidents!K:K,"Etihad",Incidents!D:D,"other")</f>
        <v>0</v>
      </c>
      <c r="K15" s="8" t="n">
        <f aca="false">SUM(B15:J15)</f>
        <v>1</v>
      </c>
    </row>
    <row r="16" customFormat="false" ht="15" hidden="false" customHeight="false" outlineLevel="0" collapsed="false">
      <c r="A16" s="8" t="s">
        <v>525</v>
      </c>
      <c r="B16" s="8" t="n">
        <f aca="false">COUNTIFS(Incidents!K:K,"British Airways",Incidents!D:D,"runway_excursion")</f>
        <v>0</v>
      </c>
      <c r="C16" s="8" t="n">
        <f aca="false">COUNTIFS(Incidents!K:K,"British Airways",Incidents!D:D,"runway_incursion")</f>
        <v>0</v>
      </c>
      <c r="D16" s="8" t="n">
        <f aca="false">COUNTIFS(Incidents!K:K,"British Airways",Incidents!D:D,"ground_collision")</f>
        <v>0</v>
      </c>
      <c r="E16" s="8" t="n">
        <f aca="false">COUNTIFS(Incidents!K:K,"British Airways",Incidents!D:D,"tarmac_fire")</f>
        <v>0</v>
      </c>
      <c r="F16" s="8" t="n">
        <f aca="false">COUNTIFS(Incidents!K:K,"British Airways",Incidents!D:D,"fuel_spill")</f>
        <v>0</v>
      </c>
      <c r="G16" s="8" t="n">
        <f aca="false">COUNTIFS(Incidents!K:K,"British Airways",Incidents!D:D,"bird_strike_ground")</f>
        <v>1</v>
      </c>
      <c r="H16" s="8" t="n">
        <f aca="false">COUNTIFS(Incidents!K:K,"British Airways",Incidents!D:D,"security_breach")</f>
        <v>0</v>
      </c>
      <c r="I16" s="8" t="n">
        <f aca="false">COUNTIFS(Incidents!K:K,"British Airways",Incidents!D:D,"apron_incident")</f>
        <v>0</v>
      </c>
      <c r="J16" s="8" t="n">
        <f aca="false">COUNTIFS(Incidents!K:K,"British Airways",Incidents!D:D,"other")</f>
        <v>0</v>
      </c>
      <c r="K16" s="8" t="n">
        <f aca="false">SUM(B16:J16)</f>
        <v>1</v>
      </c>
    </row>
    <row r="17" customFormat="false" ht="15" hidden="false" customHeight="false" outlineLevel="0" collapsed="false">
      <c r="A17" s="8" t="s">
        <v>642</v>
      </c>
      <c r="B17" s="8" t="n">
        <f aca="false">COUNTIFS(Incidents!K:K,"Myanmar AF",Incidents!D:D,"runway_excursion")</f>
        <v>1</v>
      </c>
      <c r="C17" s="8" t="n">
        <f aca="false">COUNTIFS(Incidents!K:K,"Myanmar AF",Incidents!D:D,"runway_incursion")</f>
        <v>0</v>
      </c>
      <c r="D17" s="8" t="n">
        <f aca="false">COUNTIFS(Incidents!K:K,"Myanmar AF",Incidents!D:D,"ground_collision")</f>
        <v>0</v>
      </c>
      <c r="E17" s="8" t="n">
        <f aca="false">COUNTIFS(Incidents!K:K,"Myanmar AF",Incidents!D:D,"tarmac_fire")</f>
        <v>0</v>
      </c>
      <c r="F17" s="8" t="n">
        <f aca="false">COUNTIFS(Incidents!K:K,"Myanmar AF",Incidents!D:D,"fuel_spill")</f>
        <v>0</v>
      </c>
      <c r="G17" s="8" t="n">
        <f aca="false">COUNTIFS(Incidents!K:K,"Myanmar AF",Incidents!D:D,"bird_strike_ground")</f>
        <v>0</v>
      </c>
      <c r="H17" s="8" t="n">
        <f aca="false">COUNTIFS(Incidents!K:K,"Myanmar AF",Incidents!D:D,"security_breach")</f>
        <v>0</v>
      </c>
      <c r="I17" s="8" t="n">
        <f aca="false">COUNTIFS(Incidents!K:K,"Myanmar AF",Incidents!D:D,"apron_incident")</f>
        <v>0</v>
      </c>
      <c r="J17" s="8" t="n">
        <f aca="false">COUNTIFS(Incidents!K:K,"Myanmar AF",Incidents!D:D,"other")</f>
        <v>0</v>
      </c>
      <c r="K17" s="8" t="n">
        <f aca="false">SUM(B17:J17)</f>
        <v>1</v>
      </c>
    </row>
    <row r="18" customFormat="false" ht="15" hidden="false" customHeight="false" outlineLevel="0" collapsed="false">
      <c r="A18" s="14" t="s">
        <v>852</v>
      </c>
      <c r="B18" s="14" t="n">
        <f aca="false">SUM(B2:B17)</f>
        <v>27</v>
      </c>
      <c r="C18" s="14" t="n">
        <f aca="false">SUM(C2:C17)</f>
        <v>17</v>
      </c>
      <c r="D18" s="14" t="n">
        <f aca="false">SUM(D2:D17)</f>
        <v>14</v>
      </c>
      <c r="E18" s="14" t="n">
        <f aca="false">SUM(E2:E17)</f>
        <v>8</v>
      </c>
      <c r="F18" s="14" t="n">
        <f aca="false">SUM(F2:F17)</f>
        <v>0</v>
      </c>
      <c r="G18" s="14" t="n">
        <f aca="false">SUM(G2:G17)</f>
        <v>25</v>
      </c>
      <c r="H18" s="14" t="n">
        <f aca="false">SUM(H2:H17)</f>
        <v>5</v>
      </c>
      <c r="I18" s="14" t="n">
        <f aca="false">SUM(I2:I17)</f>
        <v>35</v>
      </c>
      <c r="J18" s="14" t="n">
        <f aca="false">SUM(J2:J17)</f>
        <v>13</v>
      </c>
      <c r="K18" s="14" t="n">
        <f aca="false">SUM(K2:K17)</f>
        <v>144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14" min="2" style="0" width="9"/>
  </cols>
  <sheetData>
    <row r="1" customFormat="false" ht="15" hidden="false" customHeight="false" outlineLevel="0" collapsed="false">
      <c r="A1" s="13" t="s">
        <v>864</v>
      </c>
      <c r="B1" s="13" t="s">
        <v>865</v>
      </c>
      <c r="C1" s="13" t="s">
        <v>866</v>
      </c>
      <c r="D1" s="13" t="s">
        <v>867</v>
      </c>
      <c r="E1" s="13" t="s">
        <v>868</v>
      </c>
      <c r="F1" s="13" t="s">
        <v>869</v>
      </c>
      <c r="G1" s="13" t="s">
        <v>870</v>
      </c>
      <c r="H1" s="13" t="s">
        <v>871</v>
      </c>
      <c r="I1" s="13" t="s">
        <v>872</v>
      </c>
      <c r="J1" s="13" t="s">
        <v>873</v>
      </c>
      <c r="K1" s="13" t="s">
        <v>874</v>
      </c>
      <c r="L1" s="13" t="s">
        <v>875</v>
      </c>
      <c r="M1" s="13" t="s">
        <v>876</v>
      </c>
      <c r="N1" s="13" t="s">
        <v>852</v>
      </c>
    </row>
    <row r="2" customFormat="false" ht="15" hidden="false" customHeight="false" outlineLevel="0" collapsed="false">
      <c r="A2" s="8" t="s">
        <v>843</v>
      </c>
      <c r="B2" s="8" t="n">
        <f aca="false">SUMPRODUCT((ISNUMBER(SEARCH("-01-",Incidents!A$2:A$145)))*(Incidents!D$2:D$145="runway_excursion"))</f>
        <v>2</v>
      </c>
      <c r="C2" s="8" t="n">
        <f aca="false">SUMPRODUCT((ISNUMBER(SEARCH("-02-",Incidents!A$2:A$145)))*(Incidents!D$2:D$145="runway_excursion"))</f>
        <v>0</v>
      </c>
      <c r="D2" s="8" t="n">
        <f aca="false">SUMPRODUCT((ISNUMBER(SEARCH("-03-",Incidents!A$2:A$145)))*(Incidents!D$2:D$145="runway_excursion"))</f>
        <v>3</v>
      </c>
      <c r="E2" s="8" t="n">
        <f aca="false">SUMPRODUCT((ISNUMBER(SEARCH("-04-",Incidents!A$2:A$145)))*(Incidents!D$2:D$145="runway_excursion"))</f>
        <v>1</v>
      </c>
      <c r="F2" s="8" t="n">
        <f aca="false">SUMPRODUCT((ISNUMBER(SEARCH("-05-",Incidents!A$2:A$145)))*(Incidents!D$2:D$145="runway_excursion"))</f>
        <v>3</v>
      </c>
      <c r="G2" s="8" t="n">
        <f aca="false">SUMPRODUCT((ISNUMBER(SEARCH("-06-",Incidents!A$2:A$145)))*(Incidents!D$2:D$145="runway_excursion"))</f>
        <v>3</v>
      </c>
      <c r="H2" s="8" t="n">
        <f aca="false">SUMPRODUCT((ISNUMBER(SEARCH("-07-",Incidents!A$2:A$145)))*(Incidents!D$2:D$145="runway_excursion"))</f>
        <v>6</v>
      </c>
      <c r="I2" s="8" t="n">
        <f aca="false">SUMPRODUCT((ISNUMBER(SEARCH("-08-",Incidents!A$2:A$145)))*(Incidents!D$2:D$145="runway_excursion"))</f>
        <v>1</v>
      </c>
      <c r="J2" s="8" t="n">
        <f aca="false">SUMPRODUCT((ISNUMBER(SEARCH("-09-",Incidents!A$2:A$145)))*(Incidents!D$2:D$145="runway_excursion"))</f>
        <v>2</v>
      </c>
      <c r="K2" s="8" t="n">
        <f aca="false">SUMPRODUCT((ISNUMBER(SEARCH("-10-",Incidents!A$2:A$145)))*(Incidents!D$2:D$145="runway_excursion"))</f>
        <v>4</v>
      </c>
      <c r="L2" s="8" t="n">
        <f aca="false">SUMPRODUCT((ISNUMBER(SEARCH("-11-",Incidents!A$2:A$145)))*(Incidents!D$2:D$145="runway_excursion"))</f>
        <v>1</v>
      </c>
      <c r="M2" s="8" t="n">
        <f aca="false">SUMPRODUCT((ISNUMBER(SEARCH("-12-",Incidents!A$2:A$145)))*(Incidents!D$2:D$145="runway_excursion"))</f>
        <v>1</v>
      </c>
      <c r="N2" s="8" t="n">
        <f aca="false">SUM(B2:M2)</f>
        <v>27</v>
      </c>
    </row>
    <row r="3" customFormat="false" ht="15" hidden="false" customHeight="false" outlineLevel="0" collapsed="false">
      <c r="A3" s="8" t="s">
        <v>844</v>
      </c>
      <c r="B3" s="8" t="n">
        <f aca="false">SUMPRODUCT((ISNUMBER(SEARCH("-01-",Incidents!A$2:A$145)))*(Incidents!D$2:D$145="runway_incursion"))</f>
        <v>1</v>
      </c>
      <c r="C3" s="8" t="n">
        <f aca="false">SUMPRODUCT((ISNUMBER(SEARCH("-02-",Incidents!A$2:A$145)))*(Incidents!D$2:D$145="runway_incursion"))</f>
        <v>3</v>
      </c>
      <c r="D3" s="8" t="n">
        <f aca="false">SUMPRODUCT((ISNUMBER(SEARCH("-03-",Incidents!A$2:A$145)))*(Incidents!D$2:D$145="runway_incursion"))</f>
        <v>0</v>
      </c>
      <c r="E3" s="8" t="n">
        <f aca="false">SUMPRODUCT((ISNUMBER(SEARCH("-04-",Incidents!A$2:A$145)))*(Incidents!D$2:D$145="runway_incursion"))</f>
        <v>0</v>
      </c>
      <c r="F3" s="8" t="n">
        <f aca="false">SUMPRODUCT((ISNUMBER(SEARCH("-05-",Incidents!A$2:A$145)))*(Incidents!D$2:D$145="runway_incursion"))</f>
        <v>0</v>
      </c>
      <c r="G3" s="8" t="n">
        <f aca="false">SUMPRODUCT((ISNUMBER(SEARCH("-06-",Incidents!A$2:A$145)))*(Incidents!D$2:D$145="runway_incursion"))</f>
        <v>2</v>
      </c>
      <c r="H3" s="8" t="n">
        <f aca="false">SUMPRODUCT((ISNUMBER(SEARCH("-07-",Incidents!A$2:A$145)))*(Incidents!D$2:D$145="runway_incursion"))</f>
        <v>2</v>
      </c>
      <c r="I3" s="8" t="n">
        <f aca="false">SUMPRODUCT((ISNUMBER(SEARCH("-08-",Incidents!A$2:A$145)))*(Incidents!D$2:D$145="runway_incursion"))</f>
        <v>2</v>
      </c>
      <c r="J3" s="8" t="n">
        <f aca="false">SUMPRODUCT((ISNUMBER(SEARCH("-09-",Incidents!A$2:A$145)))*(Incidents!D$2:D$145="runway_incursion"))</f>
        <v>1</v>
      </c>
      <c r="K3" s="8" t="n">
        <f aca="false">SUMPRODUCT((ISNUMBER(SEARCH("-10-",Incidents!A$2:A$145)))*(Incidents!D$2:D$145="runway_incursion"))</f>
        <v>2</v>
      </c>
      <c r="L3" s="8" t="n">
        <f aca="false">SUMPRODUCT((ISNUMBER(SEARCH("-11-",Incidents!A$2:A$145)))*(Incidents!D$2:D$145="runway_incursion"))</f>
        <v>2</v>
      </c>
      <c r="M3" s="8" t="n">
        <f aca="false">SUMPRODUCT((ISNUMBER(SEARCH("-12-",Incidents!A$2:A$145)))*(Incidents!D$2:D$145="runway_incursion"))</f>
        <v>2</v>
      </c>
      <c r="N3" s="8" t="n">
        <f aca="false">SUM(B3:M3)</f>
        <v>17</v>
      </c>
    </row>
    <row r="4" customFormat="false" ht="15" hidden="false" customHeight="false" outlineLevel="0" collapsed="false">
      <c r="A4" s="8" t="s">
        <v>845</v>
      </c>
      <c r="B4" s="8" t="n">
        <f aca="false">SUMPRODUCT((ISNUMBER(SEARCH("-01-",Incidents!A$2:A$145)))*(Incidents!D$2:D$145="ground_collision"))</f>
        <v>1</v>
      </c>
      <c r="C4" s="8" t="n">
        <f aca="false">SUMPRODUCT((ISNUMBER(SEARCH("-02-",Incidents!A$2:A$145)))*(Incidents!D$2:D$145="ground_collision"))</f>
        <v>1</v>
      </c>
      <c r="D4" s="8" t="n">
        <f aca="false">SUMPRODUCT((ISNUMBER(SEARCH("-03-",Incidents!A$2:A$145)))*(Incidents!D$2:D$145="ground_collision"))</f>
        <v>2</v>
      </c>
      <c r="E4" s="8" t="n">
        <f aca="false">SUMPRODUCT((ISNUMBER(SEARCH("-04-",Incidents!A$2:A$145)))*(Incidents!D$2:D$145="ground_collision"))</f>
        <v>2</v>
      </c>
      <c r="F4" s="8" t="n">
        <f aca="false">SUMPRODUCT((ISNUMBER(SEARCH("-05-",Incidents!A$2:A$145)))*(Incidents!D$2:D$145="ground_collision"))</f>
        <v>2</v>
      </c>
      <c r="G4" s="8" t="n">
        <f aca="false">SUMPRODUCT((ISNUMBER(SEARCH("-06-",Incidents!A$2:A$145)))*(Incidents!D$2:D$145="ground_collision"))</f>
        <v>1</v>
      </c>
      <c r="H4" s="8" t="n">
        <f aca="false">SUMPRODUCT((ISNUMBER(SEARCH("-07-",Incidents!A$2:A$145)))*(Incidents!D$2:D$145="ground_collision"))</f>
        <v>2</v>
      </c>
      <c r="I4" s="8" t="n">
        <f aca="false">SUMPRODUCT((ISNUMBER(SEARCH("-08-",Incidents!A$2:A$145)))*(Incidents!D$2:D$145="ground_collision"))</f>
        <v>3</v>
      </c>
      <c r="J4" s="8" t="n">
        <f aca="false">SUMPRODUCT((ISNUMBER(SEARCH("-09-",Incidents!A$2:A$145)))*(Incidents!D$2:D$145="ground_collision"))</f>
        <v>0</v>
      </c>
      <c r="K4" s="8" t="n">
        <f aca="false">SUMPRODUCT((ISNUMBER(SEARCH("-10-",Incidents!A$2:A$145)))*(Incidents!D$2:D$145="ground_collision"))</f>
        <v>0</v>
      </c>
      <c r="L4" s="8" t="n">
        <f aca="false">SUMPRODUCT((ISNUMBER(SEARCH("-11-",Incidents!A$2:A$145)))*(Incidents!D$2:D$145="ground_collision"))</f>
        <v>0</v>
      </c>
      <c r="M4" s="8" t="n">
        <f aca="false">SUMPRODUCT((ISNUMBER(SEARCH("-12-",Incidents!A$2:A$145)))*(Incidents!D$2:D$145="ground_collision"))</f>
        <v>0</v>
      </c>
      <c r="N4" s="8" t="n">
        <f aca="false">SUM(B4:M4)</f>
        <v>14</v>
      </c>
    </row>
    <row r="5" customFormat="false" ht="15" hidden="false" customHeight="false" outlineLevel="0" collapsed="false">
      <c r="A5" s="8" t="s">
        <v>846</v>
      </c>
      <c r="B5" s="8" t="n">
        <f aca="false">SUMPRODUCT((ISNUMBER(SEARCH("-01-",Incidents!A$2:A$145)))*(Incidents!D$2:D$145="tarmac_fire"))</f>
        <v>1</v>
      </c>
      <c r="C5" s="8" t="n">
        <f aca="false">SUMPRODUCT((ISNUMBER(SEARCH("-02-",Incidents!A$2:A$145)))*(Incidents!D$2:D$145="tarmac_fire"))</f>
        <v>0</v>
      </c>
      <c r="D5" s="8" t="n">
        <f aca="false">SUMPRODUCT((ISNUMBER(SEARCH("-03-",Incidents!A$2:A$145)))*(Incidents!D$2:D$145="tarmac_fire"))</f>
        <v>0</v>
      </c>
      <c r="E5" s="8" t="n">
        <f aca="false">SUMPRODUCT((ISNUMBER(SEARCH("-04-",Incidents!A$2:A$145)))*(Incidents!D$2:D$145="tarmac_fire"))</f>
        <v>0</v>
      </c>
      <c r="F5" s="8" t="n">
        <f aca="false">SUMPRODUCT((ISNUMBER(SEARCH("-05-",Incidents!A$2:A$145)))*(Incidents!D$2:D$145="tarmac_fire"))</f>
        <v>1</v>
      </c>
      <c r="G5" s="8" t="n">
        <f aca="false">SUMPRODUCT((ISNUMBER(SEARCH("-06-",Incidents!A$2:A$145)))*(Incidents!D$2:D$145="tarmac_fire"))</f>
        <v>1</v>
      </c>
      <c r="H5" s="8" t="n">
        <f aca="false">SUMPRODUCT((ISNUMBER(SEARCH("-07-",Incidents!A$2:A$145)))*(Incidents!D$2:D$145="tarmac_fire"))</f>
        <v>2</v>
      </c>
      <c r="I5" s="8" t="n">
        <f aca="false">SUMPRODUCT((ISNUMBER(SEARCH("-08-",Incidents!A$2:A$145)))*(Incidents!D$2:D$145="tarmac_fire"))</f>
        <v>1</v>
      </c>
      <c r="J5" s="8" t="n">
        <f aca="false">SUMPRODUCT((ISNUMBER(SEARCH("-09-",Incidents!A$2:A$145)))*(Incidents!D$2:D$145="tarmac_fire"))</f>
        <v>0</v>
      </c>
      <c r="K5" s="8" t="n">
        <f aca="false">SUMPRODUCT((ISNUMBER(SEARCH("-10-",Incidents!A$2:A$145)))*(Incidents!D$2:D$145="tarmac_fire"))</f>
        <v>2</v>
      </c>
      <c r="L5" s="8" t="n">
        <f aca="false">SUMPRODUCT((ISNUMBER(SEARCH("-11-",Incidents!A$2:A$145)))*(Incidents!D$2:D$145="tarmac_fire"))</f>
        <v>0</v>
      </c>
      <c r="M5" s="8" t="n">
        <f aca="false">SUMPRODUCT((ISNUMBER(SEARCH("-12-",Incidents!A$2:A$145)))*(Incidents!D$2:D$145="tarmac_fire"))</f>
        <v>0</v>
      </c>
      <c r="N5" s="8" t="n">
        <f aca="false">SUM(B5:M5)</f>
        <v>8</v>
      </c>
    </row>
    <row r="6" customFormat="false" ht="15" hidden="false" customHeight="false" outlineLevel="0" collapsed="false">
      <c r="A6" s="8" t="s">
        <v>847</v>
      </c>
      <c r="B6" s="8" t="n">
        <f aca="false">SUMPRODUCT((ISNUMBER(SEARCH("-01-",Incidents!A$2:A$145)))*(Incidents!D$2:D$145="fuel_spill"))</f>
        <v>0</v>
      </c>
      <c r="C6" s="8" t="n">
        <f aca="false">SUMPRODUCT((ISNUMBER(SEARCH("-02-",Incidents!A$2:A$145)))*(Incidents!D$2:D$145="fuel_spill"))</f>
        <v>0</v>
      </c>
      <c r="D6" s="8" t="n">
        <f aca="false">SUMPRODUCT((ISNUMBER(SEARCH("-03-",Incidents!A$2:A$145)))*(Incidents!D$2:D$145="fuel_spill"))</f>
        <v>0</v>
      </c>
      <c r="E6" s="8" t="n">
        <f aca="false">SUMPRODUCT((ISNUMBER(SEARCH("-04-",Incidents!A$2:A$145)))*(Incidents!D$2:D$145="fuel_spill"))</f>
        <v>0</v>
      </c>
      <c r="F6" s="8" t="n">
        <f aca="false">SUMPRODUCT((ISNUMBER(SEARCH("-05-",Incidents!A$2:A$145)))*(Incidents!D$2:D$145="fuel_spill"))</f>
        <v>0</v>
      </c>
      <c r="G6" s="8" t="n">
        <f aca="false">SUMPRODUCT((ISNUMBER(SEARCH("-06-",Incidents!A$2:A$145)))*(Incidents!D$2:D$145="fuel_spill"))</f>
        <v>0</v>
      </c>
      <c r="H6" s="8" t="n">
        <f aca="false">SUMPRODUCT((ISNUMBER(SEARCH("-07-",Incidents!A$2:A$145)))*(Incidents!D$2:D$145="fuel_spill"))</f>
        <v>0</v>
      </c>
      <c r="I6" s="8" t="n">
        <f aca="false">SUMPRODUCT((ISNUMBER(SEARCH("-08-",Incidents!A$2:A$145)))*(Incidents!D$2:D$145="fuel_spill"))</f>
        <v>0</v>
      </c>
      <c r="J6" s="8" t="n">
        <f aca="false">SUMPRODUCT((ISNUMBER(SEARCH("-09-",Incidents!A$2:A$145)))*(Incidents!D$2:D$145="fuel_spill"))</f>
        <v>0</v>
      </c>
      <c r="K6" s="8" t="n">
        <f aca="false">SUMPRODUCT((ISNUMBER(SEARCH("-10-",Incidents!A$2:A$145)))*(Incidents!D$2:D$145="fuel_spill"))</f>
        <v>0</v>
      </c>
      <c r="L6" s="8" t="n">
        <f aca="false">SUMPRODUCT((ISNUMBER(SEARCH("-11-",Incidents!A$2:A$145)))*(Incidents!D$2:D$145="fuel_spill"))</f>
        <v>0</v>
      </c>
      <c r="M6" s="8" t="n">
        <f aca="false">SUMPRODUCT((ISNUMBER(SEARCH("-12-",Incidents!A$2:A$145)))*(Incidents!D$2:D$145="fuel_spill"))</f>
        <v>0</v>
      </c>
      <c r="N6" s="8" t="n">
        <f aca="false">SUM(B6:M6)</f>
        <v>0</v>
      </c>
    </row>
    <row r="7" customFormat="false" ht="15" hidden="false" customHeight="false" outlineLevel="0" collapsed="false">
      <c r="A7" s="8" t="s">
        <v>848</v>
      </c>
      <c r="B7" s="8" t="n">
        <f aca="false">SUMPRODUCT((ISNUMBER(SEARCH("-01-",Incidents!A$2:A$145)))*(Incidents!D$2:D$145="bird_strike_ground"))</f>
        <v>1</v>
      </c>
      <c r="C7" s="8" t="n">
        <f aca="false">SUMPRODUCT((ISNUMBER(SEARCH("-02-",Incidents!A$2:A$145)))*(Incidents!D$2:D$145="bird_strike_ground"))</f>
        <v>3</v>
      </c>
      <c r="D7" s="8" t="n">
        <f aca="false">SUMPRODUCT((ISNUMBER(SEARCH("-03-",Incidents!A$2:A$145)))*(Incidents!D$2:D$145="bird_strike_ground"))</f>
        <v>2</v>
      </c>
      <c r="E7" s="8" t="n">
        <f aca="false">SUMPRODUCT((ISNUMBER(SEARCH("-04-",Incidents!A$2:A$145)))*(Incidents!D$2:D$145="bird_strike_ground"))</f>
        <v>1</v>
      </c>
      <c r="F7" s="8" t="n">
        <f aca="false">SUMPRODUCT((ISNUMBER(SEARCH("-05-",Incidents!A$2:A$145)))*(Incidents!D$2:D$145="bird_strike_ground"))</f>
        <v>3</v>
      </c>
      <c r="G7" s="8" t="n">
        <f aca="false">SUMPRODUCT((ISNUMBER(SEARCH("-06-",Incidents!A$2:A$145)))*(Incidents!D$2:D$145="bird_strike_ground"))</f>
        <v>4</v>
      </c>
      <c r="H7" s="8" t="n">
        <f aca="false">SUMPRODUCT((ISNUMBER(SEARCH("-07-",Incidents!A$2:A$145)))*(Incidents!D$2:D$145="bird_strike_ground"))</f>
        <v>0</v>
      </c>
      <c r="I7" s="8" t="n">
        <f aca="false">SUMPRODUCT((ISNUMBER(SEARCH("-08-",Incidents!A$2:A$145)))*(Incidents!D$2:D$145="bird_strike_ground"))</f>
        <v>4</v>
      </c>
      <c r="J7" s="8" t="n">
        <f aca="false">SUMPRODUCT((ISNUMBER(SEARCH("-09-",Incidents!A$2:A$145)))*(Incidents!D$2:D$145="bird_strike_ground"))</f>
        <v>4</v>
      </c>
      <c r="K7" s="8" t="n">
        <f aca="false">SUMPRODUCT((ISNUMBER(SEARCH("-10-",Incidents!A$2:A$145)))*(Incidents!D$2:D$145="bird_strike_ground"))</f>
        <v>3</v>
      </c>
      <c r="L7" s="8" t="n">
        <f aca="false">SUMPRODUCT((ISNUMBER(SEARCH("-11-",Incidents!A$2:A$145)))*(Incidents!D$2:D$145="bird_strike_ground"))</f>
        <v>0</v>
      </c>
      <c r="M7" s="8" t="n">
        <f aca="false">SUMPRODUCT((ISNUMBER(SEARCH("-12-",Incidents!A$2:A$145)))*(Incidents!D$2:D$145="bird_strike_ground"))</f>
        <v>0</v>
      </c>
      <c r="N7" s="8" t="n">
        <f aca="false">SUM(B7:M7)</f>
        <v>25</v>
      </c>
    </row>
    <row r="8" customFormat="false" ht="15" hidden="false" customHeight="false" outlineLevel="0" collapsed="false">
      <c r="A8" s="8" t="s">
        <v>849</v>
      </c>
      <c r="B8" s="8" t="n">
        <f aca="false">SUMPRODUCT((ISNUMBER(SEARCH("-01-",Incidents!A$2:A$145)))*(Incidents!D$2:D$145="security_breach"))</f>
        <v>1</v>
      </c>
      <c r="C8" s="8" t="n">
        <f aca="false">SUMPRODUCT((ISNUMBER(SEARCH("-02-",Incidents!A$2:A$145)))*(Incidents!D$2:D$145="security_breach"))</f>
        <v>0</v>
      </c>
      <c r="D8" s="8" t="n">
        <f aca="false">SUMPRODUCT((ISNUMBER(SEARCH("-03-",Incidents!A$2:A$145)))*(Incidents!D$2:D$145="security_breach"))</f>
        <v>0</v>
      </c>
      <c r="E8" s="8" t="n">
        <f aca="false">SUMPRODUCT((ISNUMBER(SEARCH("-04-",Incidents!A$2:A$145)))*(Incidents!D$2:D$145="security_breach"))</f>
        <v>0</v>
      </c>
      <c r="F8" s="8" t="n">
        <f aca="false">SUMPRODUCT((ISNUMBER(SEARCH("-05-",Incidents!A$2:A$145)))*(Incidents!D$2:D$145="security_breach"))</f>
        <v>0</v>
      </c>
      <c r="G8" s="8" t="n">
        <f aca="false">SUMPRODUCT((ISNUMBER(SEARCH("-06-",Incidents!A$2:A$145)))*(Incidents!D$2:D$145="security_breach"))</f>
        <v>0</v>
      </c>
      <c r="H8" s="8" t="n">
        <f aca="false">SUMPRODUCT((ISNUMBER(SEARCH("-07-",Incidents!A$2:A$145)))*(Incidents!D$2:D$145="security_breach"))</f>
        <v>0</v>
      </c>
      <c r="I8" s="8" t="n">
        <f aca="false">SUMPRODUCT((ISNUMBER(SEARCH("-08-",Incidents!A$2:A$145)))*(Incidents!D$2:D$145="security_breach"))</f>
        <v>0</v>
      </c>
      <c r="J8" s="8" t="n">
        <f aca="false">SUMPRODUCT((ISNUMBER(SEARCH("-09-",Incidents!A$2:A$145)))*(Incidents!D$2:D$145="security_breach"))</f>
        <v>1</v>
      </c>
      <c r="K8" s="8" t="n">
        <f aca="false">SUMPRODUCT((ISNUMBER(SEARCH("-10-",Incidents!A$2:A$145)))*(Incidents!D$2:D$145="security_breach"))</f>
        <v>2</v>
      </c>
      <c r="L8" s="8" t="n">
        <f aca="false">SUMPRODUCT((ISNUMBER(SEARCH("-11-",Incidents!A$2:A$145)))*(Incidents!D$2:D$145="security_breach"))</f>
        <v>1</v>
      </c>
      <c r="M8" s="8" t="n">
        <f aca="false">SUMPRODUCT((ISNUMBER(SEARCH("-12-",Incidents!A$2:A$145)))*(Incidents!D$2:D$145="security_breach"))</f>
        <v>0</v>
      </c>
      <c r="N8" s="8" t="n">
        <f aca="false">SUM(B8:M8)</f>
        <v>5</v>
      </c>
    </row>
    <row r="9" customFormat="false" ht="15" hidden="false" customHeight="false" outlineLevel="0" collapsed="false">
      <c r="A9" s="8" t="s">
        <v>850</v>
      </c>
      <c r="B9" s="8" t="n">
        <f aca="false">SUMPRODUCT((ISNUMBER(SEARCH("-01-",Incidents!A$2:A$145)))*(Incidents!D$2:D$145="apron_incident"))</f>
        <v>2</v>
      </c>
      <c r="C9" s="8" t="n">
        <f aca="false">SUMPRODUCT((ISNUMBER(SEARCH("-02-",Incidents!A$2:A$145)))*(Incidents!D$2:D$145="apron_incident"))</f>
        <v>3</v>
      </c>
      <c r="D9" s="8" t="n">
        <f aca="false">SUMPRODUCT((ISNUMBER(SEARCH("-03-",Incidents!A$2:A$145)))*(Incidents!D$2:D$145="apron_incident"))</f>
        <v>2</v>
      </c>
      <c r="E9" s="8" t="n">
        <f aca="false">SUMPRODUCT((ISNUMBER(SEARCH("-04-",Incidents!A$2:A$145)))*(Incidents!D$2:D$145="apron_incident"))</f>
        <v>1</v>
      </c>
      <c r="F9" s="8" t="n">
        <f aca="false">SUMPRODUCT((ISNUMBER(SEARCH("-05-",Incidents!A$2:A$145)))*(Incidents!D$2:D$145="apron_incident"))</f>
        <v>0</v>
      </c>
      <c r="G9" s="8" t="n">
        <f aca="false">SUMPRODUCT((ISNUMBER(SEARCH("-06-",Incidents!A$2:A$145)))*(Incidents!D$2:D$145="apron_incident"))</f>
        <v>8</v>
      </c>
      <c r="H9" s="8" t="n">
        <f aca="false">SUMPRODUCT((ISNUMBER(SEARCH("-07-",Incidents!A$2:A$145)))*(Incidents!D$2:D$145="apron_incident"))</f>
        <v>5</v>
      </c>
      <c r="I9" s="8" t="n">
        <f aca="false">SUMPRODUCT((ISNUMBER(SEARCH("-08-",Incidents!A$2:A$145)))*(Incidents!D$2:D$145="apron_incident"))</f>
        <v>4</v>
      </c>
      <c r="J9" s="8" t="n">
        <f aca="false">SUMPRODUCT((ISNUMBER(SEARCH("-09-",Incidents!A$2:A$145)))*(Incidents!D$2:D$145="apron_incident"))</f>
        <v>5</v>
      </c>
      <c r="K9" s="8" t="n">
        <f aca="false">SUMPRODUCT((ISNUMBER(SEARCH("-10-",Incidents!A$2:A$145)))*(Incidents!D$2:D$145="apron_incident"))</f>
        <v>2</v>
      </c>
      <c r="L9" s="8" t="n">
        <f aca="false">SUMPRODUCT((ISNUMBER(SEARCH("-11-",Incidents!A$2:A$145)))*(Incidents!D$2:D$145="apron_incident"))</f>
        <v>1</v>
      </c>
      <c r="M9" s="8" t="n">
        <f aca="false">SUMPRODUCT((ISNUMBER(SEARCH("-12-",Incidents!A$2:A$145)))*(Incidents!D$2:D$145="apron_incident"))</f>
        <v>2</v>
      </c>
      <c r="N9" s="8" t="n">
        <f aca="false">SUM(B9:M9)</f>
        <v>35</v>
      </c>
    </row>
    <row r="10" customFormat="false" ht="15" hidden="false" customHeight="false" outlineLevel="0" collapsed="false">
      <c r="A10" s="8" t="s">
        <v>851</v>
      </c>
      <c r="B10" s="8" t="n">
        <f aca="false">SUMPRODUCT((ISNUMBER(SEARCH("-01-",Incidents!A$2:A$145)))*(Incidents!D$2:D$145="other"))</f>
        <v>1</v>
      </c>
      <c r="C10" s="8" t="n">
        <f aca="false">SUMPRODUCT((ISNUMBER(SEARCH("-02-",Incidents!A$2:A$145)))*(Incidents!D$2:D$145="other"))</f>
        <v>0</v>
      </c>
      <c r="D10" s="8" t="n">
        <f aca="false">SUMPRODUCT((ISNUMBER(SEARCH("-03-",Incidents!A$2:A$145)))*(Incidents!D$2:D$145="other"))</f>
        <v>1</v>
      </c>
      <c r="E10" s="8" t="n">
        <f aca="false">SUMPRODUCT((ISNUMBER(SEARCH("-04-",Incidents!A$2:A$145)))*(Incidents!D$2:D$145="other"))</f>
        <v>1</v>
      </c>
      <c r="F10" s="8" t="n">
        <f aca="false">SUMPRODUCT((ISNUMBER(SEARCH("-05-",Incidents!A$2:A$145)))*(Incidents!D$2:D$145="other"))</f>
        <v>6</v>
      </c>
      <c r="G10" s="8" t="n">
        <f aca="false">SUMPRODUCT((ISNUMBER(SEARCH("-06-",Incidents!A$2:A$145)))*(Incidents!D$2:D$145="other"))</f>
        <v>1</v>
      </c>
      <c r="H10" s="8" t="n">
        <f aca="false">SUMPRODUCT((ISNUMBER(SEARCH("-07-",Incidents!A$2:A$145)))*(Incidents!D$2:D$145="other"))</f>
        <v>1</v>
      </c>
      <c r="I10" s="8" t="n">
        <f aca="false">SUMPRODUCT((ISNUMBER(SEARCH("-08-",Incidents!A$2:A$145)))*(Incidents!D$2:D$145="other"))</f>
        <v>1</v>
      </c>
      <c r="J10" s="8" t="n">
        <f aca="false">SUMPRODUCT((ISNUMBER(SEARCH("-09-",Incidents!A$2:A$145)))*(Incidents!D$2:D$145="other"))</f>
        <v>0</v>
      </c>
      <c r="K10" s="8" t="n">
        <f aca="false">SUMPRODUCT((ISNUMBER(SEARCH("-10-",Incidents!A$2:A$145)))*(Incidents!D$2:D$145="other"))</f>
        <v>0</v>
      </c>
      <c r="L10" s="8" t="n">
        <f aca="false">SUMPRODUCT((ISNUMBER(SEARCH("-11-",Incidents!A$2:A$145)))*(Incidents!D$2:D$145="other"))</f>
        <v>0</v>
      </c>
      <c r="M10" s="8" t="n">
        <f aca="false">SUMPRODUCT((ISNUMBER(SEARCH("-12-",Incidents!A$2:A$145)))*(Incidents!D$2:D$145="other"))</f>
        <v>1</v>
      </c>
      <c r="N10" s="8" t="n">
        <f aca="false">SUM(B10:M10)</f>
        <v>13</v>
      </c>
    </row>
    <row r="11" customFormat="false" ht="15" hidden="false" customHeight="false" outlineLevel="0" collapsed="false">
      <c r="A11" s="14" t="s">
        <v>852</v>
      </c>
      <c r="B11" s="14" t="n">
        <f aca="false">SUM(B2:B10)</f>
        <v>10</v>
      </c>
      <c r="C11" s="14" t="n">
        <f aca="false">SUM(C2:C10)</f>
        <v>10</v>
      </c>
      <c r="D11" s="14" t="n">
        <f aca="false">SUM(D2:D10)</f>
        <v>10</v>
      </c>
      <c r="E11" s="14" t="n">
        <f aca="false">SUM(E2:E10)</f>
        <v>6</v>
      </c>
      <c r="F11" s="14" t="n">
        <f aca="false">SUM(F2:F10)</f>
        <v>15</v>
      </c>
      <c r="G11" s="14" t="n">
        <f aca="false">SUM(G2:G10)</f>
        <v>20</v>
      </c>
      <c r="H11" s="14" t="n">
        <f aca="false">SUM(H2:H10)</f>
        <v>18</v>
      </c>
      <c r="I11" s="14" t="n">
        <f aca="false">SUM(I2:I10)</f>
        <v>16</v>
      </c>
      <c r="J11" s="14" t="n">
        <f aca="false">SUM(J2:J10)</f>
        <v>13</v>
      </c>
      <c r="K11" s="14" t="n">
        <f aca="false">SUM(K2:K10)</f>
        <v>15</v>
      </c>
      <c r="L11" s="14" t="n">
        <f aca="false">SUM(L2:L10)</f>
        <v>5</v>
      </c>
      <c r="M11" s="14" t="n">
        <f aca="false">SUM(M2:M10)</f>
        <v>6</v>
      </c>
      <c r="N11" s="14" t="n">
        <f aca="false">SUM(N2:N10)</f>
        <v>144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8" width="22"/>
    <col collapsed="false" customWidth="true" hidden="false" outlineLevel="0" max="2" min="2" style="8" width="110"/>
  </cols>
  <sheetData>
    <row r="1" customFormat="false" ht="15" hidden="false" customHeight="true" outlineLevel="0" collapsed="false">
      <c r="A1" s="7" t="s">
        <v>877</v>
      </c>
      <c r="B1" s="12" t="s">
        <v>878</v>
      </c>
    </row>
    <row r="2" customFormat="false" ht="23.25" hidden="false" customHeight="true" outlineLevel="0" collapsed="false">
      <c r="A2" s="7" t="s">
        <v>879</v>
      </c>
      <c r="B2" s="12" t="s">
        <v>880</v>
      </c>
    </row>
    <row r="3" customFormat="false" ht="23.25" hidden="false" customHeight="true" outlineLevel="0" collapsed="false">
      <c r="A3" s="7" t="s">
        <v>881</v>
      </c>
      <c r="B3" s="12" t="s">
        <v>882</v>
      </c>
    </row>
    <row r="4" customFormat="false" ht="15" hidden="false" customHeight="true" outlineLevel="0" collapsed="false">
      <c r="A4" s="15"/>
      <c r="B4" s="12"/>
    </row>
    <row r="5" customFormat="false" ht="34.5" hidden="false" customHeight="true" outlineLevel="0" collapsed="false">
      <c r="A5" s="7" t="s">
        <v>883</v>
      </c>
      <c r="B5" s="12" t="s">
        <v>884</v>
      </c>
    </row>
    <row r="6" customFormat="false" ht="23.25" hidden="false" customHeight="true" outlineLevel="0" collapsed="false">
      <c r="A6" s="7" t="s">
        <v>885</v>
      </c>
      <c r="B6" s="12" t="s">
        <v>886</v>
      </c>
    </row>
    <row r="7" customFormat="false" ht="15" hidden="false" customHeight="true" outlineLevel="0" collapsed="false">
      <c r="A7" s="15"/>
      <c r="B7" s="12"/>
    </row>
    <row r="8" customFormat="false" ht="34.5" hidden="false" customHeight="true" outlineLevel="0" collapsed="false">
      <c r="A8" s="7" t="s">
        <v>887</v>
      </c>
      <c r="B8" s="12" t="s">
        <v>888</v>
      </c>
    </row>
    <row r="9" customFormat="false" ht="23.25" hidden="false" customHeight="true" outlineLevel="0" collapsed="false">
      <c r="A9" s="7" t="s">
        <v>889</v>
      </c>
      <c r="B9" s="12" t="s">
        <v>890</v>
      </c>
    </row>
    <row r="10" customFormat="false" ht="15" hidden="false" customHeight="true" outlineLevel="0" collapsed="false">
      <c r="A10" s="15"/>
      <c r="B10" s="12"/>
    </row>
    <row r="11" customFormat="false" ht="68.25" hidden="false" customHeight="true" outlineLevel="0" collapsed="false">
      <c r="A11" s="7" t="s">
        <v>891</v>
      </c>
      <c r="B11" s="12" t="s">
        <v>892</v>
      </c>
    </row>
    <row r="12" customFormat="false" ht="23.25" hidden="false" customHeight="true" outlineLevel="0" collapsed="false">
      <c r="A12" s="7" t="s">
        <v>893</v>
      </c>
      <c r="B12" s="12" t="s">
        <v>894</v>
      </c>
    </row>
    <row r="13" customFormat="false" ht="15" hidden="false" customHeight="true" outlineLevel="0" collapsed="false">
      <c r="A13" s="15"/>
      <c r="B13" s="12"/>
    </row>
    <row r="14" customFormat="false" ht="57" hidden="false" customHeight="true" outlineLevel="0" collapsed="false">
      <c r="A14" s="7" t="s">
        <v>895</v>
      </c>
      <c r="B14" s="12" t="s">
        <v>896</v>
      </c>
    </row>
    <row r="15" customFormat="false" ht="15" hidden="false" customHeight="true" outlineLevel="0" collapsed="false">
      <c r="A15" s="15"/>
      <c r="B15" s="12"/>
    </row>
    <row r="16" customFormat="false" ht="23.25" hidden="false" customHeight="true" outlineLevel="0" collapsed="false">
      <c r="A16" s="7" t="s">
        <v>897</v>
      </c>
      <c r="B16" s="12" t="s">
        <v>898</v>
      </c>
    </row>
    <row r="17" customFormat="false" ht="15" hidden="false" customHeight="true" outlineLevel="0" collapsed="false">
      <c r="A17" s="15"/>
      <c r="B17" s="12"/>
    </row>
    <row r="18" customFormat="false" ht="34.5" hidden="false" customHeight="true" outlineLevel="0" collapsed="false">
      <c r="A18" s="7" t="s">
        <v>899</v>
      </c>
      <c r="B18" s="12" t="s">
        <v>900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0"/>
    <col collapsed="false" customWidth="true" hidden="false" outlineLevel="0" max="4" min="3" style="0" width="12"/>
    <col collapsed="false" customWidth="true" hidden="false" outlineLevel="0" max="5" min="5" style="0" width="60"/>
    <col collapsed="false" customWidth="true" hidden="false" outlineLevel="0" max="6" min="6" style="0" width="50"/>
    <col collapsed="false" customWidth="true" hidden="false" outlineLevel="0" max="7" min="7" style="0" width="18"/>
    <col collapsed="false" customWidth="true" hidden="false" outlineLevel="0" max="8" min="8" style="0" width="35"/>
  </cols>
  <sheetData>
    <row r="1" customFormat="false" ht="17.35" hidden="false" customHeight="false" outlineLevel="0" collapsed="false">
      <c r="A1" s="16" t="s">
        <v>901</v>
      </c>
      <c r="B1" s="16"/>
      <c r="C1" s="16"/>
      <c r="D1" s="16"/>
      <c r="E1" s="16"/>
      <c r="F1" s="16"/>
      <c r="G1" s="16"/>
      <c r="H1" s="16"/>
    </row>
    <row r="2" customFormat="false" ht="30" hidden="false" customHeight="true" outlineLevel="0" collapsed="false">
      <c r="A2" s="17" t="s">
        <v>902</v>
      </c>
      <c r="B2" s="17"/>
      <c r="C2" s="17"/>
      <c r="D2" s="17"/>
      <c r="E2" s="17"/>
      <c r="F2" s="17"/>
      <c r="G2" s="17"/>
      <c r="H2" s="17"/>
    </row>
    <row r="4" customFormat="false" ht="15" hidden="false" customHeight="false" outlineLevel="0" collapsed="false">
      <c r="A4" s="18" t="s">
        <v>903</v>
      </c>
      <c r="B4" s="18"/>
      <c r="C4" s="18"/>
      <c r="D4" s="18"/>
      <c r="E4" s="18"/>
      <c r="F4" s="18"/>
      <c r="G4" s="18"/>
      <c r="H4" s="18"/>
    </row>
    <row r="5" customFormat="false" ht="15" hidden="false" customHeight="false" outlineLevel="0" collapsed="false">
      <c r="A5" s="18" t="s">
        <v>904</v>
      </c>
      <c r="B5" s="18"/>
      <c r="C5" s="18"/>
      <c r="D5" s="18"/>
      <c r="E5" s="18"/>
      <c r="F5" s="18"/>
      <c r="G5" s="18"/>
      <c r="H5" s="18"/>
    </row>
    <row r="6" customFormat="false" ht="15" hidden="false" customHeight="false" outlineLevel="0" collapsed="false">
      <c r="A6" s="18" t="s">
        <v>905</v>
      </c>
      <c r="B6" s="18"/>
      <c r="C6" s="18"/>
      <c r="D6" s="18"/>
      <c r="E6" s="18"/>
      <c r="F6" s="18"/>
      <c r="G6" s="18"/>
      <c r="H6" s="18"/>
    </row>
    <row r="7" customFormat="false" ht="15" hidden="false" customHeight="false" outlineLevel="0" collapsed="false">
      <c r="A7" s="18" t="s">
        <v>906</v>
      </c>
      <c r="B7" s="18"/>
      <c r="C7" s="18"/>
      <c r="D7" s="18"/>
      <c r="E7" s="18"/>
      <c r="F7" s="18"/>
      <c r="G7" s="18"/>
      <c r="H7" s="18"/>
    </row>
    <row r="8" customFormat="false" ht="15" hidden="false" customHeight="false" outlineLevel="0" collapsed="false">
      <c r="A8" s="18" t="s">
        <v>907</v>
      </c>
      <c r="B8" s="18"/>
      <c r="C8" s="18"/>
      <c r="D8" s="18"/>
      <c r="E8" s="18"/>
      <c r="F8" s="18"/>
      <c r="G8" s="18"/>
      <c r="H8" s="18"/>
    </row>
    <row r="9" customFormat="false" ht="15" hidden="false" customHeight="false" outlineLevel="0" collapsed="false">
      <c r="A9" s="18" t="s">
        <v>908</v>
      </c>
      <c r="B9" s="18"/>
      <c r="C9" s="18"/>
      <c r="D9" s="18"/>
      <c r="E9" s="18"/>
      <c r="F9" s="18"/>
      <c r="G9" s="18"/>
      <c r="H9" s="18"/>
    </row>
    <row r="10" customFormat="false" ht="15" hidden="false" customHeight="false" outlineLevel="0" collapsed="false">
      <c r="A10" s="18"/>
      <c r="B10" s="18"/>
      <c r="C10" s="18"/>
      <c r="D10" s="18"/>
      <c r="E10" s="18"/>
      <c r="F10" s="18"/>
      <c r="G10" s="18"/>
      <c r="H10" s="18"/>
    </row>
    <row r="11" customFormat="false" ht="15" hidden="false" customHeight="false" outlineLevel="0" collapsed="false">
      <c r="A11" s="18" t="s">
        <v>909</v>
      </c>
      <c r="B11" s="18"/>
      <c r="C11" s="18"/>
      <c r="D11" s="18"/>
      <c r="E11" s="18"/>
      <c r="F11" s="18"/>
      <c r="G11" s="18"/>
      <c r="H11" s="18"/>
    </row>
    <row r="12" customFormat="false" ht="15" hidden="false" customHeight="false" outlineLevel="0" collapsed="false">
      <c r="A12" s="18" t="s">
        <v>910</v>
      </c>
      <c r="B12" s="18"/>
      <c r="C12" s="18"/>
      <c r="D12" s="18"/>
      <c r="E12" s="18"/>
      <c r="F12" s="18"/>
      <c r="G12" s="18"/>
      <c r="H12" s="18"/>
    </row>
    <row r="13" customFormat="false" ht="15" hidden="false" customHeight="false" outlineLevel="0" collapsed="false">
      <c r="A13" s="18" t="s">
        <v>911</v>
      </c>
      <c r="B13" s="18"/>
      <c r="C13" s="18"/>
      <c r="D13" s="18"/>
      <c r="E13" s="18"/>
      <c r="F13" s="18"/>
      <c r="G13" s="18"/>
      <c r="H13" s="18"/>
    </row>
    <row r="14" customFormat="false" ht="15" hidden="false" customHeight="false" outlineLevel="0" collapsed="false">
      <c r="A14" s="18" t="s">
        <v>912</v>
      </c>
      <c r="B14" s="18"/>
      <c r="C14" s="18"/>
      <c r="D14" s="18"/>
      <c r="E14" s="18"/>
      <c r="F14" s="18"/>
      <c r="G14" s="18"/>
      <c r="H14" s="18"/>
    </row>
    <row r="15" customFormat="false" ht="15" hidden="false" customHeight="false" outlineLevel="0" collapsed="false">
      <c r="A15" s="18" t="s">
        <v>913</v>
      </c>
      <c r="B15" s="18"/>
      <c r="C15" s="18"/>
      <c r="D15" s="18"/>
      <c r="E15" s="18"/>
      <c r="F15" s="18"/>
      <c r="G15" s="18"/>
      <c r="H15" s="18"/>
    </row>
    <row r="16" customFormat="false" ht="15" hidden="false" customHeight="false" outlineLevel="0" collapsed="false">
      <c r="A16" s="18" t="s">
        <v>914</v>
      </c>
      <c r="B16" s="18"/>
      <c r="C16" s="18"/>
      <c r="D16" s="18"/>
      <c r="E16" s="18"/>
      <c r="F16" s="18"/>
      <c r="G16" s="18"/>
      <c r="H16" s="18"/>
    </row>
    <row r="20" customFormat="false" ht="15" hidden="false" customHeight="false" outlineLevel="0" collapsed="false">
      <c r="A20" s="19" t="s">
        <v>915</v>
      </c>
    </row>
    <row r="21" customFormat="false" ht="15" hidden="false" customHeight="false" outlineLevel="0" collapsed="false">
      <c r="A21" s="10" t="s">
        <v>916</v>
      </c>
      <c r="B21" s="10" t="s">
        <v>917</v>
      </c>
      <c r="C21" s="10" t="s">
        <v>918</v>
      </c>
      <c r="D21" s="10" t="s">
        <v>919</v>
      </c>
      <c r="E21" s="10" t="s">
        <v>920</v>
      </c>
      <c r="F21" s="10" t="s">
        <v>39</v>
      </c>
      <c r="G21" s="10" t="s">
        <v>921</v>
      </c>
      <c r="H21" s="10" t="s">
        <v>922</v>
      </c>
    </row>
    <row r="22" customFormat="false" ht="69.75" hidden="false" customHeight="true" outlineLevel="0" collapsed="false">
      <c r="A22" s="12" t="s">
        <v>923</v>
      </c>
      <c r="B22" s="12" t="s">
        <v>924</v>
      </c>
      <c r="C22" s="12" t="n">
        <v>84</v>
      </c>
      <c r="D22" s="12" t="s">
        <v>925</v>
      </c>
      <c r="E22" s="12" t="s">
        <v>926</v>
      </c>
      <c r="F22" s="12" t="s">
        <v>927</v>
      </c>
      <c r="G22" s="12" t="s">
        <v>928</v>
      </c>
      <c r="H22" s="12" t="s">
        <v>929</v>
      </c>
    </row>
    <row r="23" customFormat="false" ht="69.75" hidden="false" customHeight="true" outlineLevel="0" collapsed="false">
      <c r="A23" s="12" t="s">
        <v>930</v>
      </c>
      <c r="B23" s="12" t="s">
        <v>931</v>
      </c>
      <c r="C23" s="12" t="s">
        <v>932</v>
      </c>
      <c r="D23" s="12" t="s">
        <v>925</v>
      </c>
      <c r="E23" s="12" t="s">
        <v>933</v>
      </c>
      <c r="F23" s="12" t="s">
        <v>934</v>
      </c>
      <c r="G23" s="12" t="s">
        <v>928</v>
      </c>
      <c r="H23" s="12" t="s">
        <v>935</v>
      </c>
    </row>
    <row r="24" customFormat="false" ht="69.75" hidden="false" customHeight="true" outlineLevel="0" collapsed="false">
      <c r="A24" s="12" t="s">
        <v>936</v>
      </c>
      <c r="B24" s="12" t="s">
        <v>937</v>
      </c>
      <c r="C24" s="12" t="n">
        <v>59</v>
      </c>
      <c r="D24" s="12" t="s">
        <v>925</v>
      </c>
      <c r="E24" s="12" t="s">
        <v>938</v>
      </c>
      <c r="F24" s="12" t="s">
        <v>939</v>
      </c>
      <c r="G24" s="12" t="s">
        <v>928</v>
      </c>
      <c r="H24" s="12" t="s">
        <v>940</v>
      </c>
    </row>
    <row r="25" customFormat="false" ht="69.75" hidden="false" customHeight="true" outlineLevel="0" collapsed="false">
      <c r="A25" s="12" t="s">
        <v>941</v>
      </c>
      <c r="B25" s="12" t="s">
        <v>937</v>
      </c>
      <c r="C25" s="12" t="n">
        <v>41</v>
      </c>
      <c r="D25" s="12" t="s">
        <v>925</v>
      </c>
      <c r="E25" s="12" t="s">
        <v>942</v>
      </c>
      <c r="F25" s="12" t="s">
        <v>943</v>
      </c>
      <c r="G25" s="12" t="s">
        <v>928</v>
      </c>
      <c r="H25" s="12" t="s">
        <v>944</v>
      </c>
    </row>
    <row r="26" customFormat="false" ht="69.75" hidden="false" customHeight="true" outlineLevel="0" collapsed="false">
      <c r="A26" s="12" t="s">
        <v>945</v>
      </c>
      <c r="B26" s="12" t="s">
        <v>946</v>
      </c>
      <c r="C26" s="12" t="n">
        <v>68</v>
      </c>
      <c r="D26" s="12" t="s">
        <v>925</v>
      </c>
      <c r="E26" s="12" t="s">
        <v>947</v>
      </c>
      <c r="F26" s="12" t="s">
        <v>939</v>
      </c>
      <c r="G26" s="12" t="s">
        <v>928</v>
      </c>
      <c r="H26" s="12" t="s">
        <v>944</v>
      </c>
    </row>
    <row r="27" customFormat="false" ht="69.75" hidden="false" customHeight="true" outlineLevel="0" collapsed="false">
      <c r="A27" s="12" t="s">
        <v>948</v>
      </c>
      <c r="B27" s="12" t="s">
        <v>946</v>
      </c>
      <c r="C27" s="12" t="n">
        <v>130</v>
      </c>
      <c r="D27" s="12" t="s">
        <v>925</v>
      </c>
      <c r="E27" s="12" t="s">
        <v>949</v>
      </c>
      <c r="F27" s="12" t="s">
        <v>950</v>
      </c>
      <c r="G27" s="12" t="s">
        <v>928</v>
      </c>
      <c r="H27" s="12" t="s">
        <v>944</v>
      </c>
    </row>
    <row r="28" customFormat="false" ht="69.75" hidden="false" customHeight="true" outlineLevel="0" collapsed="false">
      <c r="A28" s="12" t="s">
        <v>951</v>
      </c>
      <c r="B28" s="12" t="s">
        <v>952</v>
      </c>
      <c r="C28" s="12" t="n">
        <v>1</v>
      </c>
      <c r="D28" s="12" t="s">
        <v>953</v>
      </c>
      <c r="E28" s="12" t="s">
        <v>954</v>
      </c>
      <c r="F28" s="12" t="s">
        <v>955</v>
      </c>
      <c r="G28" s="12" t="s">
        <v>78</v>
      </c>
      <c r="H28" s="12" t="s">
        <v>956</v>
      </c>
    </row>
    <row r="29" customFormat="false" ht="69.75" hidden="false" customHeight="true" outlineLevel="0" collapsed="false">
      <c r="A29" s="12" t="s">
        <v>957</v>
      </c>
      <c r="B29" s="12" t="s">
        <v>958</v>
      </c>
      <c r="C29" s="12" t="s">
        <v>959</v>
      </c>
      <c r="D29" s="12" t="s">
        <v>925</v>
      </c>
      <c r="E29" s="12" t="s">
        <v>960</v>
      </c>
      <c r="F29" s="12" t="s">
        <v>961</v>
      </c>
      <c r="G29" s="12" t="s">
        <v>962</v>
      </c>
      <c r="H29" s="12" t="s">
        <v>963</v>
      </c>
    </row>
    <row r="35" customFormat="false" ht="15" hidden="false" customHeight="false" outlineLevel="0" collapsed="false">
      <c r="A35" s="19" t="s">
        <v>964</v>
      </c>
    </row>
    <row r="36" customFormat="false" ht="39.55" hidden="false" customHeight="false" outlineLevel="0" collapsed="false">
      <c r="A36" s="10" t="s">
        <v>32</v>
      </c>
      <c r="B36" s="10" t="s">
        <v>33</v>
      </c>
      <c r="C36" s="10" t="s">
        <v>965</v>
      </c>
      <c r="D36" s="10" t="s">
        <v>966</v>
      </c>
      <c r="E36" s="10" t="s">
        <v>967</v>
      </c>
      <c r="F36" s="10" t="s">
        <v>968</v>
      </c>
      <c r="G36" s="10" t="s">
        <v>969</v>
      </c>
      <c r="H36" s="10" t="s">
        <v>970</v>
      </c>
    </row>
    <row r="37" customFormat="false" ht="39.75" hidden="false" customHeight="true" outlineLevel="0" collapsed="false">
      <c r="A37" s="12" t="s">
        <v>971</v>
      </c>
      <c r="B37" s="12" t="s">
        <v>90</v>
      </c>
      <c r="C37" s="12" t="s">
        <v>972</v>
      </c>
      <c r="D37" s="12" t="s">
        <v>973</v>
      </c>
      <c r="E37" s="12" t="s">
        <v>974</v>
      </c>
      <c r="F37" s="12" t="s">
        <v>975</v>
      </c>
      <c r="G37" s="12" t="s">
        <v>976</v>
      </c>
      <c r="H37" s="12" t="s">
        <v>977</v>
      </c>
    </row>
    <row r="40" customFormat="false" ht="15" hidden="false" customHeight="false" outlineLevel="0" collapsed="false">
      <c r="A40" s="19" t="s">
        <v>978</v>
      </c>
    </row>
    <row r="41" customFormat="false" ht="24" hidden="false" customHeight="true" outlineLevel="0" collapsed="false">
      <c r="A41" s="20" t="s">
        <v>979</v>
      </c>
      <c r="B41" s="20"/>
      <c r="C41" s="20"/>
      <c r="D41" s="20"/>
      <c r="E41" s="20"/>
      <c r="F41" s="20"/>
      <c r="G41" s="20"/>
      <c r="H41" s="20"/>
    </row>
    <row r="42" customFormat="false" ht="24" hidden="false" customHeight="true" outlineLevel="0" collapsed="false">
      <c r="A42" s="20" t="s">
        <v>980</v>
      </c>
      <c r="B42" s="20"/>
      <c r="C42" s="20"/>
      <c r="D42" s="20"/>
      <c r="E42" s="20"/>
      <c r="F42" s="20"/>
      <c r="G42" s="20"/>
      <c r="H42" s="20"/>
    </row>
    <row r="43" customFormat="false" ht="24" hidden="false" customHeight="true" outlineLevel="0" collapsed="false">
      <c r="A43" s="20" t="s">
        <v>981</v>
      </c>
      <c r="B43" s="20"/>
      <c r="C43" s="20"/>
      <c r="D43" s="20"/>
      <c r="E43" s="20"/>
      <c r="F43" s="20"/>
      <c r="G43" s="20"/>
      <c r="H43" s="20"/>
    </row>
    <row r="44" customFormat="false" ht="24" hidden="false" customHeight="true" outlineLevel="0" collapsed="false">
      <c r="A44" s="20" t="s">
        <v>982</v>
      </c>
      <c r="B44" s="20"/>
      <c r="C44" s="20"/>
      <c r="D44" s="20"/>
      <c r="E44" s="20"/>
      <c r="F44" s="20"/>
      <c r="G44" s="20"/>
      <c r="H44" s="20"/>
    </row>
    <row r="45" customFormat="false" ht="24" hidden="false" customHeight="true" outlineLevel="0" collapsed="false">
      <c r="A45" s="20" t="s">
        <v>983</v>
      </c>
      <c r="B45" s="20"/>
      <c r="C45" s="20"/>
      <c r="D45" s="20"/>
      <c r="E45" s="20"/>
      <c r="F45" s="20"/>
      <c r="G45" s="20"/>
      <c r="H45" s="20"/>
    </row>
    <row r="46" customFormat="false" ht="24" hidden="false" customHeight="true" outlineLevel="0" collapsed="false">
      <c r="A46" s="20" t="s">
        <v>984</v>
      </c>
      <c r="B46" s="20"/>
      <c r="C46" s="20"/>
      <c r="D46" s="20"/>
      <c r="E46" s="20"/>
      <c r="F46" s="20"/>
      <c r="G46" s="20"/>
      <c r="H46" s="20"/>
    </row>
    <row r="49" customFormat="false" ht="36" hidden="false" customHeight="true" outlineLevel="0" collapsed="false">
      <c r="A49" s="21" t="s">
        <v>985</v>
      </c>
      <c r="B49" s="21"/>
      <c r="C49" s="21"/>
      <c r="D49" s="21"/>
      <c r="E49" s="21"/>
      <c r="F49" s="21"/>
      <c r="G49" s="21"/>
      <c r="H49" s="21"/>
    </row>
  </sheetData>
  <mergeCells count="22">
    <mergeCell ref="A1:H1"/>
    <mergeCell ref="A2:H2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1:H41"/>
    <mergeCell ref="A42:H42"/>
    <mergeCell ref="A43:H43"/>
    <mergeCell ref="A44:H44"/>
    <mergeCell ref="A45:H45"/>
    <mergeCell ref="A46:H46"/>
    <mergeCell ref="A49:H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2026-04-18T20:51:45Z</dcterms:created>
  <dc:creator>openpyxl</dc:creator>
  <dc:description/>
  <dc:language>en-US</dc:language>
  <cp:lastModifiedBy/>
  <dcterms:modified xsi:type="dcterms:W3CDTF">2026-04-19T05:42:05Z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